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<sst xmlns="http://schemas.openxmlformats.org/spreadsheetml/2006/main" count="421" uniqueCount="139">
  <si>
    <t>阳山县2021年第一季度政策性肉鸡养殖保险承保汇总表</t>
  </si>
  <si>
    <t>承保公司：中国太平洋财产保险股份有限公司清远中心支公司</t>
  </si>
  <si>
    <t>单位：元、羽、户</t>
  </si>
  <si>
    <t>序号</t>
  </si>
  <si>
    <t xml:space="preserve"> 镇(街）</t>
  </si>
  <si>
    <t>承保数量</t>
  </si>
  <si>
    <t>保费（0.6元/羽）</t>
  </si>
  <si>
    <t>户次</t>
  </si>
  <si>
    <t>备注</t>
  </si>
  <si>
    <t>保户（0.18元）</t>
  </si>
  <si>
    <t>中央（0元）</t>
  </si>
  <si>
    <t>省级（0.3元）</t>
  </si>
  <si>
    <t>市级（0.06元）</t>
  </si>
  <si>
    <t>县区（0.06元）</t>
  </si>
  <si>
    <t>合计</t>
  </si>
  <si>
    <t>岭背镇</t>
  </si>
  <si>
    <t>***</t>
  </si>
  <si>
    <t>阳山县2021年第一季度政策性育肥猪养殖保险承保和财政保费补贴情况汇总表</t>
  </si>
  <si>
    <t>承保公司：中国人民财产保险股份有限公司清远市分公司</t>
  </si>
  <si>
    <t>单位：头、元、户</t>
  </si>
  <si>
    <t>乡镇</t>
  </si>
  <si>
    <t>承保头数</t>
  </si>
  <si>
    <t>保险费（35元/头）</t>
  </si>
  <si>
    <t>保户[8.75元]</t>
  </si>
  <si>
    <t>中央[14元]</t>
  </si>
  <si>
    <t>省级[7元]</t>
  </si>
  <si>
    <t>地(区)级[2.625元]</t>
  </si>
  <si>
    <t>县(市)级[2.625元]</t>
  </si>
  <si>
    <t>七拱镇</t>
  </si>
  <si>
    <t>阳山县2021年第一季度政策性仔猪养殖保险承保和财政保费补贴情况汇总表</t>
  </si>
  <si>
    <t>保险费（30元/头）</t>
  </si>
  <si>
    <t>保户[7.5元]</t>
  </si>
  <si>
    <t>中央[12元]</t>
  </si>
  <si>
    <t>省级[6元]</t>
  </si>
  <si>
    <t>地(区)级
[2.25元]</t>
  </si>
  <si>
    <t>县(市)级
[2.25元]</t>
  </si>
  <si>
    <t>阳山县2021年度早造政策性水稻种植保险承保汇总表</t>
  </si>
  <si>
    <t>承保公司：阳光农业相互保险公司阳山支公司</t>
  </si>
  <si>
    <t>单位：亩、元、户</t>
  </si>
  <si>
    <t>镇(乡）</t>
  </si>
  <si>
    <t>承保面积</t>
  </si>
  <si>
    <t>保险费（40元/亩·造）</t>
  </si>
  <si>
    <t>保户[8元]</t>
  </si>
  <si>
    <t>省级[12元]</t>
  </si>
  <si>
    <t>地(区)级[3元]</t>
  </si>
  <si>
    <t>县(市)级[3元]</t>
  </si>
  <si>
    <t>阳城镇</t>
  </si>
  <si>
    <t>青莲镇</t>
  </si>
  <si>
    <t>太平镇</t>
  </si>
  <si>
    <t>黎埠镇</t>
  </si>
  <si>
    <t>小江镇</t>
  </si>
  <si>
    <t>黄坌镇</t>
  </si>
  <si>
    <t>杜步镇</t>
  </si>
  <si>
    <t>杨梅镇</t>
  </si>
  <si>
    <t>大崀镇</t>
  </si>
  <si>
    <t>阳山县2021年度晚造政策性水稻种植保险承保汇总表</t>
  </si>
  <si>
    <t>阳山县2021年度早造政策性玉米种植保险承保汇总表</t>
  </si>
  <si>
    <t>保险费（28.8元/亩·造）</t>
  </si>
  <si>
    <t>保户[5.76元]</t>
  </si>
  <si>
    <t>中央[10.08元]</t>
  </si>
  <si>
    <t>省级[8.64元]</t>
  </si>
  <si>
    <t>地(区)级
[2.16元]</t>
  </si>
  <si>
    <t>县(市)级
[2.16元]</t>
  </si>
  <si>
    <t>江英镇</t>
  </si>
  <si>
    <t>秤架乡</t>
  </si>
  <si>
    <t>备注：由于每份保单承保的玉米种植面积比较零散，加上各级财政负担保险保费补贴涉及小数点后3位数，扣费系统自动生成的中央、市、县级保费比汇总面积计算的中央、市、县级保费多收0.06元；系统自动生成的省级、农户保费比汇总面积计算的省级、农户保费少收0.06元，全口径保费总额不变。</t>
  </si>
  <si>
    <t>阳山县2021年度晚造政策性玉米种植保险承保汇总表</t>
  </si>
  <si>
    <t>备注：由于每份保单承保的玉米种植面积比较零散，加上各级财政负担保险保费补贴涉及小数点后3位数，扣费系统自动生成的中央、地级、县级保费比汇总面积计算的中央、地级、县级保费多收0.05元；系统自动生成的省级、农户保费比汇总面积计算的省级、农户保费少收0.05元，全口径保费总额不变。</t>
  </si>
  <si>
    <t>阳山县2021年度政策性花生种植保险承保汇总表</t>
  </si>
  <si>
    <t>镇(街）</t>
  </si>
  <si>
    <t>保险费（30元/亩·造）</t>
  </si>
  <si>
    <t>保户[6元]</t>
  </si>
  <si>
    <t>中央[10.5元]</t>
  </si>
  <si>
    <t>省级[9元]</t>
  </si>
  <si>
    <t>备注：由于每份保单承保的花生种植面积比较零散，加上各级财政负担保险保费补贴涉及小数点后3位数，扣费系统自动生成的农户保费比汇总面积计算的农户保费少收0.06元；系统自动生成的地级、县级保费比汇总面积计算的地级、县级保费多收0.06元，全口径保费总额不变。</t>
  </si>
  <si>
    <t>阳山县2021年度政策性山羊养殖保险承保汇总表</t>
  </si>
  <si>
    <t>保险费（80元/头）</t>
  </si>
  <si>
    <t>保户[16元]</t>
  </si>
  <si>
    <t>中央[0元]</t>
  </si>
  <si>
    <t>省级[28元]</t>
  </si>
  <si>
    <t>地(区)级[18元]</t>
  </si>
  <si>
    <t>县(市)级[18元]</t>
  </si>
  <si>
    <t>阳山县2021年度政策性岭南水果种植保险承保汇总表</t>
  </si>
  <si>
    <t>单位：元、亩、户</t>
  </si>
  <si>
    <t>保费（300元/亩）</t>
  </si>
  <si>
    <t>保户（60元）</t>
  </si>
  <si>
    <t>省级（150元）</t>
  </si>
  <si>
    <t>市级（45元）</t>
  </si>
  <si>
    <t>县区（45元）</t>
  </si>
  <si>
    <t>阳山县2021年度政策性露地蔬菜（茎菜类）种植保险承保汇总表</t>
  </si>
  <si>
    <t>保险费（150元/亩.茬）</t>
  </si>
  <si>
    <t>保户[30元]</t>
  </si>
  <si>
    <t>省级[75元]</t>
  </si>
  <si>
    <t>地(区)级
[22.5元]</t>
  </si>
  <si>
    <t>县(市)级
[22.5元]</t>
  </si>
  <si>
    <t>保期内承保2茬</t>
  </si>
  <si>
    <t>阳山县2021年度政策性露地蔬菜（叶菜类）种植保险承保汇总表</t>
  </si>
  <si>
    <t>保险费（90元/亩.茬）</t>
  </si>
  <si>
    <t>保户[18元]</t>
  </si>
  <si>
    <t>省级[45元]</t>
  </si>
  <si>
    <t>地(区)级
[13.5元]</t>
  </si>
  <si>
    <t>县(市)级
[13.5元]</t>
  </si>
  <si>
    <t>保期内承保5茬</t>
  </si>
  <si>
    <t>保期内承保6茬</t>
  </si>
  <si>
    <t>阳山县2021年度政策性露地蔬菜（果菜类）种植保险承保汇总表</t>
  </si>
  <si>
    <t>保险费（200元/亩.茬）</t>
  </si>
  <si>
    <t>保户[40元]</t>
  </si>
  <si>
    <t>省级[100元]</t>
  </si>
  <si>
    <t>地(区)级
[30元]</t>
  </si>
  <si>
    <t>县(市)级
[30元]</t>
  </si>
  <si>
    <t>保期内承保1茬</t>
  </si>
  <si>
    <t>阳山县2021年度政策性能繁母猪养殖保险承保和财政保费补贴情况汇总表</t>
  </si>
  <si>
    <t>保险费（90元/头）</t>
  </si>
  <si>
    <t>保户
[10.5000003元]</t>
  </si>
  <si>
    <t>中央
[36元]</t>
  </si>
  <si>
    <t>省级
[31.5元]</t>
  </si>
  <si>
    <t>地(区)级[7.2元]</t>
  </si>
  <si>
    <t>县(市)级
[4.7999997元]</t>
  </si>
  <si>
    <t>阳山县2021年第二、第三、第四季度政策性肉鸡养殖保险承保汇总表</t>
  </si>
  <si>
    <t>阳山县2021年第二、第三、第四季度政策性育肥猪养殖保险承保和财政保费补贴情况汇总表</t>
  </si>
  <si>
    <t>保险费（56元/头）</t>
  </si>
  <si>
    <t>保户[14元]</t>
  </si>
  <si>
    <t>中央[22.4元]</t>
  </si>
  <si>
    <t>省级[11.2元]</t>
  </si>
  <si>
    <t>地(区)级[4.2元]</t>
  </si>
  <si>
    <t>县(市)级[4.2元]</t>
  </si>
  <si>
    <t>阳山县2021年第二、第三、第四季度政策性仔猪养殖保险承保和财政保费补贴情况汇总表</t>
  </si>
  <si>
    <t>阳山县2021年度政策性淡水水产养殖保险承保和财政保费补贴情况汇总表</t>
  </si>
  <si>
    <t>保险费（400元/亩）</t>
  </si>
  <si>
    <t>保户[120元]</t>
  </si>
  <si>
    <t>省级[200元]</t>
  </si>
  <si>
    <t>地(区)级[40元]</t>
  </si>
  <si>
    <t>县(市)级[40元]</t>
  </si>
  <si>
    <t>阳山县2021年度政策性花卉苗木种植保险承保和财政保费补贴情况汇总表</t>
  </si>
  <si>
    <t>保险费（180元/亩）</t>
  </si>
  <si>
    <t>保户[36元]</t>
  </si>
  <si>
    <t>省级[90元]</t>
  </si>
  <si>
    <t>地(区)级[27元]</t>
  </si>
  <si>
    <t>县(市)级[27元]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</si>
</sst>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_ "/>
    <numFmt numFmtId="178" formatCode="0_);[Red]\(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2.5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259"/>
  <sheetViews>
    <sheetView tabSelected="1" workbookViewId="0">
      <selection activeCell="M112" sqref="M112"/>
    </sheetView>
  </sheetViews>
  <sheetFormatPr defaultColWidth="9" defaultRowHeight="14.25"/>
  <cols>
    <col min="1" max="1" width="9" style="1"/>
    <col min="2" max="9" width="15.375" style="1" customWidth="1"/>
    <col min="10" max="10" width="13.75" style="1" customWidth="1"/>
    <col min="11" max="11" width="13.625" style="1" customWidth="1"/>
    <col min="12" max="12" width="11.5" style="1"/>
    <col min="13" max="16384" width="9" style="1"/>
  </cols>
  <sheetData>
    <row r="2" s="1" customFormat="1" ht="27" spans="1:1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35"/>
    </row>
    <row r="3" s="1" customFormat="1" ht="24" customHeight="1" spans="1:11">
      <c r="A3" s="1" t="s">
        <v>1</v>
      </c>
      <c r="B3" s="8"/>
      <c r="C3" s="8"/>
      <c r="D3" s="8"/>
      <c r="E3" s="8"/>
      <c r="F3" s="8"/>
      <c r="G3" s="8"/>
      <c r="H3" s="8"/>
      <c r="I3" s="8"/>
      <c r="J3" s="36" t="s">
        <v>2</v>
      </c>
      <c r="K3" s="36"/>
    </row>
    <row r="4" s="1" customFormat="1" ht="20" customHeight="1" spans="1:11">
      <c r="A4" s="9" t="s">
        <v>3</v>
      </c>
      <c r="B4" s="9" t="s">
        <v>4</v>
      </c>
      <c r="C4" s="9" t="s">
        <v>5</v>
      </c>
      <c r="D4" s="10" t="s">
        <v>6</v>
      </c>
      <c r="E4" s="11"/>
      <c r="F4" s="11"/>
      <c r="G4" s="11"/>
      <c r="H4" s="11"/>
      <c r="I4" s="37"/>
      <c r="J4" s="9" t="s">
        <v>7</v>
      </c>
      <c r="K4" s="9" t="s">
        <v>8</v>
      </c>
    </row>
    <row r="5" s="1" customFormat="1" ht="27" customHeight="1" spans="1:11">
      <c r="A5" s="12"/>
      <c r="B5" s="12"/>
      <c r="C5" s="12"/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2"/>
      <c r="K5" s="12"/>
    </row>
    <row r="6" s="1" customFormat="1" ht="20" customHeight="1" spans="1:11">
      <c r="A6" s="12">
        <v>1</v>
      </c>
      <c r="B6" s="12" t="s">
        <v>15</v>
      </c>
      <c r="C6" s="13">
        <v>166100</v>
      </c>
      <c r="D6" s="14">
        <f>C6*0.18</f>
        <v>29898</v>
      </c>
      <c r="E6" s="15">
        <v>0</v>
      </c>
      <c r="F6" s="15">
        <f>C6*0.3</f>
        <v>49830</v>
      </c>
      <c r="G6" s="15">
        <f>C6*0.06</f>
        <v>9966</v>
      </c>
      <c r="H6" s="15">
        <f>C6*0.06</f>
        <v>9966</v>
      </c>
      <c r="I6" s="15">
        <f>C6*0.6</f>
        <v>99660</v>
      </c>
      <c r="J6" s="12">
        <v>1</v>
      </c>
      <c r="K6" s="38"/>
    </row>
    <row r="7" s="1" customFormat="1" ht="20" customHeight="1" spans="1:11">
      <c r="A7" s="13" t="s">
        <v>14</v>
      </c>
      <c r="B7" s="16" t="s">
        <v>16</v>
      </c>
      <c r="C7" s="17">
        <f>SUM(C6:C6)</f>
        <v>166100</v>
      </c>
      <c r="D7" s="18">
        <f>SUM(D6:D6)</f>
        <v>29898</v>
      </c>
      <c r="E7" s="18">
        <f t="shared" ref="E7:J7" si="0">SUM(E6:E6)</f>
        <v>0</v>
      </c>
      <c r="F7" s="18">
        <f t="shared" si="0"/>
        <v>49830</v>
      </c>
      <c r="G7" s="18">
        <f t="shared" si="0"/>
        <v>9966</v>
      </c>
      <c r="H7" s="18">
        <f t="shared" si="0"/>
        <v>9966</v>
      </c>
      <c r="I7" s="18">
        <f t="shared" si="0"/>
        <v>99660</v>
      </c>
      <c r="J7" s="17">
        <f t="shared" si="0"/>
        <v>1</v>
      </c>
      <c r="K7" s="39"/>
    </row>
    <row r="12" s="1" customFormat="1" ht="25.5" spans="1:11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="1" customFormat="1" ht="20" customHeight="1" spans="1:11">
      <c r="A13" s="1" t="s">
        <v>18</v>
      </c>
      <c r="D13" s="6"/>
      <c r="J13" s="40" t="s">
        <v>19</v>
      </c>
      <c r="K13" s="40"/>
    </row>
    <row r="14" s="1" customFormat="1" ht="20" customHeight="1" spans="1:11">
      <c r="A14" s="20" t="s">
        <v>3</v>
      </c>
      <c r="B14" s="20" t="s">
        <v>20</v>
      </c>
      <c r="C14" s="20" t="s">
        <v>21</v>
      </c>
      <c r="D14" s="21" t="s">
        <v>22</v>
      </c>
      <c r="E14" s="21"/>
      <c r="F14" s="21"/>
      <c r="G14" s="21"/>
      <c r="H14" s="21"/>
      <c r="I14" s="21"/>
      <c r="J14" s="20" t="s">
        <v>7</v>
      </c>
      <c r="K14" s="20" t="s">
        <v>8</v>
      </c>
    </row>
    <row r="15" s="1" customFormat="1" ht="28.5" spans="1:11">
      <c r="A15" s="20"/>
      <c r="B15" s="20"/>
      <c r="C15" s="20"/>
      <c r="D15" s="21" t="s">
        <v>23</v>
      </c>
      <c r="E15" s="21" t="s">
        <v>24</v>
      </c>
      <c r="F15" s="21" t="s">
        <v>25</v>
      </c>
      <c r="G15" s="21" t="s">
        <v>26</v>
      </c>
      <c r="H15" s="21" t="s">
        <v>27</v>
      </c>
      <c r="I15" s="21" t="s">
        <v>14</v>
      </c>
      <c r="J15" s="20"/>
      <c r="K15" s="20"/>
    </row>
    <row r="16" s="1" customFormat="1" ht="20" customHeight="1" spans="1:11">
      <c r="A16" s="22">
        <v>1</v>
      </c>
      <c r="B16" s="23" t="s">
        <v>28</v>
      </c>
      <c r="C16" s="23">
        <v>54194</v>
      </c>
      <c r="D16" s="24">
        <f>C16*8.75</f>
        <v>474197.5</v>
      </c>
      <c r="E16" s="24">
        <f>C16*14</f>
        <v>758716</v>
      </c>
      <c r="F16" s="24">
        <f>C16*7</f>
        <v>379358</v>
      </c>
      <c r="G16" s="24">
        <f>C16*2.625</f>
        <v>142259.25</v>
      </c>
      <c r="H16" s="24">
        <f>C16*2.625</f>
        <v>142259.25</v>
      </c>
      <c r="I16" s="24">
        <f>SUM(D16:H16)</f>
        <v>1896790</v>
      </c>
      <c r="J16" s="22">
        <v>3</v>
      </c>
      <c r="K16" s="41"/>
    </row>
    <row r="17" s="1" customFormat="1" ht="20" customHeight="1" spans="1:11">
      <c r="A17" s="17" t="s">
        <v>14</v>
      </c>
      <c r="B17" s="17" t="s">
        <v>16</v>
      </c>
      <c r="C17" s="17">
        <f t="shared" ref="C17:J17" si="1">SUM(C16:C16)</f>
        <v>54194</v>
      </c>
      <c r="D17" s="24">
        <f t="shared" si="1"/>
        <v>474197.5</v>
      </c>
      <c r="E17" s="24">
        <f t="shared" si="1"/>
        <v>758716</v>
      </c>
      <c r="F17" s="24">
        <f t="shared" si="1"/>
        <v>379358</v>
      </c>
      <c r="G17" s="24">
        <f t="shared" si="1"/>
        <v>142259.25</v>
      </c>
      <c r="H17" s="24">
        <f t="shared" si="1"/>
        <v>142259.25</v>
      </c>
      <c r="I17" s="24">
        <f t="shared" si="1"/>
        <v>1896790</v>
      </c>
      <c r="J17" s="17">
        <f t="shared" si="1"/>
        <v>3</v>
      </c>
      <c r="K17" s="42"/>
    </row>
    <row r="22" s="2" customFormat="1" ht="27" spans="1:11">
      <c r="A22" s="7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="3" customFormat="1" ht="20" customHeight="1" spans="1:11">
      <c r="A23" s="1" t="s">
        <v>18</v>
      </c>
      <c r="B23" s="1"/>
      <c r="C23" s="1"/>
      <c r="D23" s="6"/>
      <c r="E23" s="1"/>
      <c r="F23" s="1"/>
      <c r="G23" s="1"/>
      <c r="H23" s="1"/>
      <c r="I23" s="1"/>
      <c r="J23" s="40" t="s">
        <v>19</v>
      </c>
      <c r="K23" s="40"/>
    </row>
    <row r="24" s="3" customFormat="1" ht="20" customHeight="1" spans="1:11">
      <c r="A24" s="20" t="s">
        <v>3</v>
      </c>
      <c r="B24" s="20" t="s">
        <v>20</v>
      </c>
      <c r="C24" s="20" t="s">
        <v>21</v>
      </c>
      <c r="D24" s="21" t="s">
        <v>30</v>
      </c>
      <c r="E24" s="21"/>
      <c r="F24" s="21"/>
      <c r="G24" s="21"/>
      <c r="H24" s="21"/>
      <c r="I24" s="21"/>
      <c r="J24" s="20" t="s">
        <v>7</v>
      </c>
      <c r="K24" s="20" t="s">
        <v>8</v>
      </c>
    </row>
    <row r="25" s="3" customFormat="1" ht="33" customHeight="1" spans="1:11">
      <c r="A25" s="20"/>
      <c r="B25" s="20"/>
      <c r="C25" s="20"/>
      <c r="D25" s="21" t="s">
        <v>31</v>
      </c>
      <c r="E25" s="21" t="s">
        <v>32</v>
      </c>
      <c r="F25" s="21" t="s">
        <v>33</v>
      </c>
      <c r="G25" s="21" t="s">
        <v>34</v>
      </c>
      <c r="H25" s="21" t="s">
        <v>35</v>
      </c>
      <c r="I25" s="21" t="s">
        <v>14</v>
      </c>
      <c r="J25" s="20"/>
      <c r="K25" s="20"/>
    </row>
    <row r="26" s="3" customFormat="1" ht="20" customHeight="1" spans="1:11">
      <c r="A26" s="22">
        <v>1</v>
      </c>
      <c r="B26" s="23" t="s">
        <v>28</v>
      </c>
      <c r="C26" s="25">
        <v>60000</v>
      </c>
      <c r="D26" s="24">
        <f>C26*7.5</f>
        <v>450000</v>
      </c>
      <c r="E26" s="24">
        <f>C26*12</f>
        <v>720000</v>
      </c>
      <c r="F26" s="24">
        <f>C26*6</f>
        <v>360000</v>
      </c>
      <c r="G26" s="24">
        <f>C26*2.25</f>
        <v>135000</v>
      </c>
      <c r="H26" s="24">
        <f>C26*2.25</f>
        <v>135000</v>
      </c>
      <c r="I26" s="24">
        <f>SUM(D26:H26)</f>
        <v>1800000</v>
      </c>
      <c r="J26" s="22">
        <v>1</v>
      </c>
      <c r="K26" s="41"/>
    </row>
    <row r="27" s="4" customFormat="1" ht="20" customHeight="1" spans="1:11">
      <c r="A27" s="17" t="s">
        <v>14</v>
      </c>
      <c r="B27" s="17" t="s">
        <v>16</v>
      </c>
      <c r="C27" s="17">
        <f t="shared" ref="C27:H27" si="2">SUM(C26:C26)</f>
        <v>60000</v>
      </c>
      <c r="D27" s="18">
        <f t="shared" si="2"/>
        <v>450000</v>
      </c>
      <c r="E27" s="18">
        <f t="shared" si="2"/>
        <v>720000</v>
      </c>
      <c r="F27" s="18">
        <f t="shared" si="2"/>
        <v>360000</v>
      </c>
      <c r="G27" s="18">
        <f t="shared" si="2"/>
        <v>135000</v>
      </c>
      <c r="H27" s="18">
        <f t="shared" si="2"/>
        <v>135000</v>
      </c>
      <c r="I27" s="24">
        <f>SUM(D27:H27)</f>
        <v>1800000</v>
      </c>
      <c r="J27" s="17">
        <f>SUM(J26:J26)</f>
        <v>1</v>
      </c>
      <c r="K27" s="17"/>
    </row>
    <row r="32" s="5" customFormat="1" ht="27" spans="1:11">
      <c r="A32" s="7" t="s">
        <v>36</v>
      </c>
      <c r="B32" s="26"/>
      <c r="C32" s="7"/>
      <c r="D32" s="7"/>
      <c r="E32" s="7"/>
      <c r="F32" s="7"/>
      <c r="G32" s="7"/>
      <c r="H32" s="7"/>
      <c r="I32" s="7"/>
      <c r="J32" s="7"/>
      <c r="K32" s="7"/>
    </row>
    <row r="33" s="1" customFormat="1" ht="20" customHeight="1" spans="1:11">
      <c r="A33" s="6" t="s">
        <v>37</v>
      </c>
      <c r="B33" s="6"/>
      <c r="C33" s="6"/>
      <c r="D33" s="6"/>
      <c r="E33" s="6"/>
      <c r="F33" s="6"/>
      <c r="G33" s="6"/>
      <c r="H33" s="6"/>
      <c r="J33" s="40" t="s">
        <v>38</v>
      </c>
      <c r="K33" s="43"/>
    </row>
    <row r="34" s="1" customFormat="1" spans="1:11">
      <c r="A34" s="20" t="s">
        <v>3</v>
      </c>
      <c r="B34" s="22" t="s">
        <v>39</v>
      </c>
      <c r="C34" s="20" t="s">
        <v>40</v>
      </c>
      <c r="D34" s="20" t="s">
        <v>41</v>
      </c>
      <c r="E34" s="20"/>
      <c r="F34" s="20"/>
      <c r="G34" s="20"/>
      <c r="H34" s="20"/>
      <c r="I34" s="44"/>
      <c r="J34" s="20" t="s">
        <v>7</v>
      </c>
      <c r="K34" s="20" t="s">
        <v>8</v>
      </c>
    </row>
    <row r="35" s="1" customFormat="1" spans="1:11">
      <c r="A35" s="20"/>
      <c r="B35" s="27"/>
      <c r="C35" s="20"/>
      <c r="D35" s="20" t="s">
        <v>42</v>
      </c>
      <c r="E35" s="20" t="s">
        <v>24</v>
      </c>
      <c r="F35" s="20" t="s">
        <v>43</v>
      </c>
      <c r="G35" s="20" t="s">
        <v>44</v>
      </c>
      <c r="H35" s="20" t="s">
        <v>45</v>
      </c>
      <c r="I35" s="44" t="s">
        <v>14</v>
      </c>
      <c r="J35" s="20"/>
      <c r="K35" s="20"/>
    </row>
    <row r="36" s="1" customFormat="1" ht="20" customHeight="1" spans="1:11">
      <c r="A36" s="22">
        <v>1</v>
      </c>
      <c r="B36" s="23" t="s">
        <v>46</v>
      </c>
      <c r="C36" s="28">
        <v>11827.8</v>
      </c>
      <c r="D36" s="28">
        <f>C36*8</f>
        <v>94622.4</v>
      </c>
      <c r="E36" s="28">
        <f>C36*14</f>
        <v>165589.2</v>
      </c>
      <c r="F36" s="28">
        <f>C36*12</f>
        <v>141933.6</v>
      </c>
      <c r="G36" s="28">
        <f>C36*3</f>
        <v>35483.4</v>
      </c>
      <c r="H36" s="28">
        <f>C36*3</f>
        <v>35483.4</v>
      </c>
      <c r="I36" s="45">
        <f>SUM(D36:H36)</f>
        <v>473112</v>
      </c>
      <c r="J36" s="46">
        <v>6956</v>
      </c>
      <c r="K36" s="47"/>
    </row>
    <row r="37" s="1" customFormat="1" ht="20" customHeight="1" spans="1:11">
      <c r="A37" s="22">
        <v>2</v>
      </c>
      <c r="B37" s="29" t="s">
        <v>15</v>
      </c>
      <c r="C37" s="28">
        <v>13101.1</v>
      </c>
      <c r="D37" s="28">
        <f t="shared" ref="D37:D46" si="3">C37*8</f>
        <v>104808.8</v>
      </c>
      <c r="E37" s="28">
        <f t="shared" ref="E37:E46" si="4">C37*14</f>
        <v>183415.4</v>
      </c>
      <c r="F37" s="28">
        <f t="shared" ref="F37:F46" si="5">C37*12</f>
        <v>157213.2</v>
      </c>
      <c r="G37" s="28">
        <f t="shared" ref="G37:G46" si="6">C37*3</f>
        <v>39303.3</v>
      </c>
      <c r="H37" s="28">
        <f t="shared" ref="H37:H46" si="7">C37*3</f>
        <v>39303.3</v>
      </c>
      <c r="I37" s="45">
        <f t="shared" ref="I37:I46" si="8">SUM(D37:H37)</f>
        <v>524044</v>
      </c>
      <c r="J37" s="46">
        <v>7368</v>
      </c>
      <c r="K37" s="47"/>
    </row>
    <row r="38" s="1" customFormat="1" ht="20" customHeight="1" spans="1:11">
      <c r="A38" s="22">
        <v>3</v>
      </c>
      <c r="B38" s="29" t="s">
        <v>47</v>
      </c>
      <c r="C38" s="28">
        <v>7882.1</v>
      </c>
      <c r="D38" s="28">
        <f t="shared" si="3"/>
        <v>63056.8</v>
      </c>
      <c r="E38" s="28">
        <f t="shared" si="4"/>
        <v>110349.4</v>
      </c>
      <c r="F38" s="28">
        <f t="shared" si="5"/>
        <v>94585.2</v>
      </c>
      <c r="G38" s="28">
        <f t="shared" si="6"/>
        <v>23646.3</v>
      </c>
      <c r="H38" s="28">
        <f t="shared" si="7"/>
        <v>23646.3</v>
      </c>
      <c r="I38" s="45">
        <f t="shared" si="8"/>
        <v>315284</v>
      </c>
      <c r="J38" s="46">
        <v>4393</v>
      </c>
      <c r="K38" s="47"/>
    </row>
    <row r="39" s="1" customFormat="1" ht="20" customHeight="1" spans="1:11">
      <c r="A39" s="22">
        <v>4</v>
      </c>
      <c r="B39" s="29" t="s">
        <v>28</v>
      </c>
      <c r="C39" s="28">
        <v>31054.9</v>
      </c>
      <c r="D39" s="28">
        <f t="shared" si="3"/>
        <v>248439.2</v>
      </c>
      <c r="E39" s="28">
        <f t="shared" si="4"/>
        <v>434768.6</v>
      </c>
      <c r="F39" s="28">
        <f t="shared" si="5"/>
        <v>372658.8</v>
      </c>
      <c r="G39" s="28">
        <f t="shared" si="6"/>
        <v>93164.7</v>
      </c>
      <c r="H39" s="28">
        <f t="shared" si="7"/>
        <v>93164.7</v>
      </c>
      <c r="I39" s="45">
        <f t="shared" si="8"/>
        <v>1242196</v>
      </c>
      <c r="J39" s="46">
        <v>12534</v>
      </c>
      <c r="K39" s="47"/>
    </row>
    <row r="40" s="1" customFormat="1" ht="20" customHeight="1" spans="1:11">
      <c r="A40" s="22">
        <v>5</v>
      </c>
      <c r="B40" s="29" t="s">
        <v>48</v>
      </c>
      <c r="C40" s="28">
        <v>20847.9</v>
      </c>
      <c r="D40" s="28">
        <f t="shared" si="3"/>
        <v>166783.2</v>
      </c>
      <c r="E40" s="28">
        <f t="shared" si="4"/>
        <v>291870.6</v>
      </c>
      <c r="F40" s="28">
        <f t="shared" si="5"/>
        <v>250174.8</v>
      </c>
      <c r="G40" s="28">
        <f t="shared" si="6"/>
        <v>62543.7</v>
      </c>
      <c r="H40" s="28">
        <f t="shared" si="7"/>
        <v>62543.7</v>
      </c>
      <c r="I40" s="45">
        <f t="shared" si="8"/>
        <v>833916</v>
      </c>
      <c r="J40" s="46">
        <v>8146</v>
      </c>
      <c r="K40" s="47"/>
    </row>
    <row r="41" s="1" customFormat="1" ht="20" customHeight="1" spans="1:11">
      <c r="A41" s="22">
        <v>6</v>
      </c>
      <c r="B41" s="29" t="s">
        <v>49</v>
      </c>
      <c r="C41" s="28">
        <v>18825.3</v>
      </c>
      <c r="D41" s="28">
        <f t="shared" si="3"/>
        <v>150602.4</v>
      </c>
      <c r="E41" s="28">
        <f t="shared" si="4"/>
        <v>263554.2</v>
      </c>
      <c r="F41" s="28">
        <f t="shared" si="5"/>
        <v>225903.6</v>
      </c>
      <c r="G41" s="28">
        <f t="shared" si="6"/>
        <v>56475.9</v>
      </c>
      <c r="H41" s="28">
        <f t="shared" si="7"/>
        <v>56475.9</v>
      </c>
      <c r="I41" s="45">
        <f t="shared" si="8"/>
        <v>753012</v>
      </c>
      <c r="J41" s="46">
        <v>12631</v>
      </c>
      <c r="K41" s="47"/>
    </row>
    <row r="42" s="1" customFormat="1" ht="20" customHeight="1" spans="1:11">
      <c r="A42" s="22">
        <v>7</v>
      </c>
      <c r="B42" s="29" t="s">
        <v>50</v>
      </c>
      <c r="C42" s="28">
        <v>9273.4</v>
      </c>
      <c r="D42" s="28">
        <f t="shared" si="3"/>
        <v>74187.2</v>
      </c>
      <c r="E42" s="28">
        <f t="shared" si="4"/>
        <v>129827.6</v>
      </c>
      <c r="F42" s="28">
        <f t="shared" si="5"/>
        <v>111280.8</v>
      </c>
      <c r="G42" s="28">
        <f t="shared" si="6"/>
        <v>27820.2</v>
      </c>
      <c r="H42" s="28">
        <f t="shared" si="7"/>
        <v>27820.2</v>
      </c>
      <c r="I42" s="45">
        <f t="shared" si="8"/>
        <v>370936</v>
      </c>
      <c r="J42" s="46">
        <v>5957</v>
      </c>
      <c r="K42" s="47"/>
    </row>
    <row r="43" s="1" customFormat="1" ht="20" customHeight="1" spans="1:11">
      <c r="A43" s="22">
        <v>8</v>
      </c>
      <c r="B43" s="23" t="s">
        <v>51</v>
      </c>
      <c r="C43" s="28">
        <v>9119.6</v>
      </c>
      <c r="D43" s="28">
        <f t="shared" si="3"/>
        <v>72956.8</v>
      </c>
      <c r="E43" s="28">
        <f t="shared" si="4"/>
        <v>127674.4</v>
      </c>
      <c r="F43" s="28">
        <f t="shared" si="5"/>
        <v>109435.2</v>
      </c>
      <c r="G43" s="28">
        <f t="shared" si="6"/>
        <v>27358.8</v>
      </c>
      <c r="H43" s="28">
        <f t="shared" si="7"/>
        <v>27358.8</v>
      </c>
      <c r="I43" s="45">
        <f t="shared" si="8"/>
        <v>364784</v>
      </c>
      <c r="J43" s="46">
        <v>2854</v>
      </c>
      <c r="K43" s="47"/>
    </row>
    <row r="44" s="1" customFormat="1" ht="20" customHeight="1" spans="1:11">
      <c r="A44" s="22">
        <v>9</v>
      </c>
      <c r="B44" s="23" t="s">
        <v>52</v>
      </c>
      <c r="C44" s="28">
        <v>4268.2</v>
      </c>
      <c r="D44" s="28">
        <f t="shared" si="3"/>
        <v>34145.6</v>
      </c>
      <c r="E44" s="28">
        <f t="shared" si="4"/>
        <v>59754.8</v>
      </c>
      <c r="F44" s="28">
        <f t="shared" si="5"/>
        <v>51218.4</v>
      </c>
      <c r="G44" s="28">
        <f t="shared" si="6"/>
        <v>12804.6</v>
      </c>
      <c r="H44" s="28">
        <f t="shared" si="7"/>
        <v>12804.6</v>
      </c>
      <c r="I44" s="45">
        <f t="shared" si="8"/>
        <v>170728</v>
      </c>
      <c r="J44" s="46">
        <v>2899</v>
      </c>
      <c r="K44" s="47"/>
    </row>
    <row r="45" s="1" customFormat="1" ht="20" customHeight="1" spans="1:11">
      <c r="A45" s="22">
        <v>10</v>
      </c>
      <c r="B45" s="23" t="s">
        <v>53</v>
      </c>
      <c r="C45" s="28">
        <v>5150.2</v>
      </c>
      <c r="D45" s="28">
        <f t="shared" si="3"/>
        <v>41201.6</v>
      </c>
      <c r="E45" s="28">
        <f t="shared" si="4"/>
        <v>72102.8</v>
      </c>
      <c r="F45" s="28">
        <f t="shared" si="5"/>
        <v>61802.4</v>
      </c>
      <c r="G45" s="28">
        <f t="shared" si="6"/>
        <v>15450.6</v>
      </c>
      <c r="H45" s="28">
        <f t="shared" si="7"/>
        <v>15450.6</v>
      </c>
      <c r="I45" s="45">
        <f t="shared" si="8"/>
        <v>206008</v>
      </c>
      <c r="J45" s="46">
        <v>1033</v>
      </c>
      <c r="K45" s="47"/>
    </row>
    <row r="46" s="1" customFormat="1" ht="20" customHeight="1" spans="1:11">
      <c r="A46" s="22">
        <v>11</v>
      </c>
      <c r="B46" s="23" t="s">
        <v>54</v>
      </c>
      <c r="C46" s="28">
        <v>6547.7</v>
      </c>
      <c r="D46" s="28">
        <f t="shared" si="3"/>
        <v>52381.6</v>
      </c>
      <c r="E46" s="28">
        <f t="shared" si="4"/>
        <v>91667.8</v>
      </c>
      <c r="F46" s="28">
        <f t="shared" si="5"/>
        <v>78572.4</v>
      </c>
      <c r="G46" s="28">
        <f t="shared" si="6"/>
        <v>19643.1</v>
      </c>
      <c r="H46" s="28">
        <f t="shared" si="7"/>
        <v>19643.1</v>
      </c>
      <c r="I46" s="45">
        <f t="shared" si="8"/>
        <v>261908</v>
      </c>
      <c r="J46" s="46">
        <v>3033</v>
      </c>
      <c r="K46" s="47"/>
    </row>
    <row r="47" s="1" customFormat="1" ht="20" customHeight="1" spans="1:11">
      <c r="A47" s="22" t="s">
        <v>14</v>
      </c>
      <c r="B47" s="22" t="s">
        <v>16</v>
      </c>
      <c r="C47" s="28">
        <f t="shared" ref="C47:J47" si="9">SUM(C36:C46)</f>
        <v>137898.2</v>
      </c>
      <c r="D47" s="28">
        <f t="shared" si="9"/>
        <v>1103185.6</v>
      </c>
      <c r="E47" s="28">
        <f t="shared" si="9"/>
        <v>1930574.8</v>
      </c>
      <c r="F47" s="28">
        <f t="shared" si="9"/>
        <v>1654778.4</v>
      </c>
      <c r="G47" s="28">
        <f t="shared" si="9"/>
        <v>413694.6</v>
      </c>
      <c r="H47" s="28">
        <f t="shared" si="9"/>
        <v>413694.6</v>
      </c>
      <c r="I47" s="28">
        <f t="shared" si="9"/>
        <v>5515928</v>
      </c>
      <c r="J47" s="46">
        <f t="shared" si="9"/>
        <v>67804</v>
      </c>
      <c r="K47" s="47"/>
    </row>
    <row r="48" s="1" customFormat="1" spans="1:11">
      <c r="A48" s="30"/>
      <c r="B48" s="30"/>
      <c r="C48" s="31"/>
      <c r="D48" s="31"/>
      <c r="E48" s="31"/>
      <c r="F48" s="31"/>
      <c r="G48" s="31"/>
      <c r="H48" s="31"/>
      <c r="I48" s="31"/>
      <c r="J48" s="31"/>
      <c r="K48" s="48"/>
    </row>
    <row r="49" s="1" customFormat="1" spans="1:11">
      <c r="A49" s="6"/>
      <c r="B49" s="6"/>
      <c r="C49" s="32"/>
      <c r="D49" s="32"/>
      <c r="E49" s="32"/>
      <c r="F49" s="32"/>
      <c r="G49" s="32"/>
      <c r="H49" s="32"/>
      <c r="I49" s="32"/>
      <c r="J49" s="32"/>
      <c r="K49" s="49"/>
    </row>
    <row r="50" s="1" customFormat="1" spans="1:11">
      <c r="A50" s="6"/>
      <c r="B50" s="6"/>
      <c r="C50" s="32"/>
      <c r="D50" s="32"/>
      <c r="E50" s="32"/>
      <c r="F50" s="32"/>
      <c r="G50" s="32"/>
      <c r="H50" s="32"/>
      <c r="I50" s="32"/>
      <c r="J50" s="32"/>
      <c r="K50" s="49"/>
    </row>
    <row r="51" s="1" customFormat="1" ht="15" spans="1:11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50"/>
    </row>
    <row r="52" s="5" customFormat="1" ht="27" spans="1:11">
      <c r="A52" s="7" t="s">
        <v>55</v>
      </c>
      <c r="B52" s="26"/>
      <c r="C52" s="7"/>
      <c r="D52" s="7"/>
      <c r="E52" s="7"/>
      <c r="F52" s="7"/>
      <c r="G52" s="7"/>
      <c r="H52" s="7"/>
      <c r="I52" s="7"/>
      <c r="J52" s="7"/>
      <c r="K52" s="7"/>
    </row>
    <row r="53" s="1" customFormat="1" ht="20" customHeight="1" spans="1:11">
      <c r="A53" s="6" t="s">
        <v>37</v>
      </c>
      <c r="B53" s="6"/>
      <c r="C53" s="6"/>
      <c r="D53" s="6"/>
      <c r="E53" s="6"/>
      <c r="F53" s="6"/>
      <c r="G53" s="6"/>
      <c r="H53" s="6"/>
      <c r="J53" s="40" t="s">
        <v>38</v>
      </c>
      <c r="K53" s="43"/>
    </row>
    <row r="54" s="1" customFormat="1" ht="20" customHeight="1" spans="1:11">
      <c r="A54" s="20" t="s">
        <v>3</v>
      </c>
      <c r="B54" s="22" t="s">
        <v>39</v>
      </c>
      <c r="C54" s="20" t="s">
        <v>40</v>
      </c>
      <c r="D54" s="20" t="s">
        <v>41</v>
      </c>
      <c r="E54" s="20"/>
      <c r="F54" s="20"/>
      <c r="G54" s="20"/>
      <c r="H54" s="20"/>
      <c r="I54" s="44"/>
      <c r="J54" s="20" t="s">
        <v>7</v>
      </c>
      <c r="K54" s="20" t="s">
        <v>8</v>
      </c>
    </row>
    <row r="55" s="1" customFormat="1" ht="20" customHeight="1" spans="1:11">
      <c r="A55" s="20"/>
      <c r="B55" s="27"/>
      <c r="C55" s="20"/>
      <c r="D55" s="20" t="s">
        <v>42</v>
      </c>
      <c r="E55" s="20" t="s">
        <v>24</v>
      </c>
      <c r="F55" s="20" t="s">
        <v>43</v>
      </c>
      <c r="G55" s="20" t="s">
        <v>44</v>
      </c>
      <c r="H55" s="20" t="s">
        <v>45</v>
      </c>
      <c r="I55" s="44" t="s">
        <v>14</v>
      </c>
      <c r="J55" s="20"/>
      <c r="K55" s="20"/>
    </row>
    <row r="56" s="1" customFormat="1" ht="20" customHeight="1" spans="1:11">
      <c r="A56" s="22">
        <v>1</v>
      </c>
      <c r="B56" s="23" t="s">
        <v>46</v>
      </c>
      <c r="C56" s="28">
        <v>7293.7</v>
      </c>
      <c r="D56" s="28">
        <f>C56*8</f>
        <v>58349.6</v>
      </c>
      <c r="E56" s="28">
        <f>C56*14</f>
        <v>102111.8</v>
      </c>
      <c r="F56" s="28">
        <f>C56*12</f>
        <v>87524.4</v>
      </c>
      <c r="G56" s="28">
        <f>C56*3</f>
        <v>21881.1</v>
      </c>
      <c r="H56" s="28">
        <f>C56*3</f>
        <v>21881.1</v>
      </c>
      <c r="I56" s="45">
        <f>SUM(D56:H56)</f>
        <v>291748</v>
      </c>
      <c r="J56" s="46">
        <v>4863</v>
      </c>
      <c r="K56" s="47"/>
    </row>
    <row r="57" s="1" customFormat="1" ht="20" customHeight="1" spans="1:11">
      <c r="A57" s="22">
        <v>2</v>
      </c>
      <c r="B57" s="29" t="s">
        <v>15</v>
      </c>
      <c r="C57" s="28">
        <v>3829.7</v>
      </c>
      <c r="D57" s="28">
        <f t="shared" ref="D57:D65" si="10">C57*8</f>
        <v>30637.6</v>
      </c>
      <c r="E57" s="28">
        <f t="shared" ref="E57:E65" si="11">C57*14</f>
        <v>53615.8</v>
      </c>
      <c r="F57" s="28">
        <f t="shared" ref="F57:F65" si="12">C57*12</f>
        <v>45956.4</v>
      </c>
      <c r="G57" s="28">
        <f t="shared" ref="G57:G65" si="13">C57*3</f>
        <v>11489.1</v>
      </c>
      <c r="H57" s="28">
        <f t="shared" ref="H57:H65" si="14">C57*3</f>
        <v>11489.1</v>
      </c>
      <c r="I57" s="45">
        <f t="shared" ref="I57:I65" si="15">SUM(D57:H57)</f>
        <v>153188</v>
      </c>
      <c r="J57" s="46">
        <v>5059</v>
      </c>
      <c r="K57" s="47"/>
    </row>
    <row r="58" s="1" customFormat="1" ht="20" customHeight="1" spans="1:11">
      <c r="A58" s="22">
        <v>3</v>
      </c>
      <c r="B58" s="29" t="s">
        <v>47</v>
      </c>
      <c r="C58" s="28">
        <v>3944.7</v>
      </c>
      <c r="D58" s="28">
        <f t="shared" si="10"/>
        <v>31557.6</v>
      </c>
      <c r="E58" s="28">
        <f t="shared" si="11"/>
        <v>55225.8</v>
      </c>
      <c r="F58" s="28">
        <f t="shared" si="12"/>
        <v>47336.4</v>
      </c>
      <c r="G58" s="28">
        <f t="shared" si="13"/>
        <v>11834.1</v>
      </c>
      <c r="H58" s="28">
        <f t="shared" si="14"/>
        <v>11834.1</v>
      </c>
      <c r="I58" s="45">
        <f t="shared" si="15"/>
        <v>157788</v>
      </c>
      <c r="J58" s="46">
        <v>2251</v>
      </c>
      <c r="K58" s="47"/>
    </row>
    <row r="59" s="1" customFormat="1" ht="20" customHeight="1" spans="1:11">
      <c r="A59" s="22">
        <v>4</v>
      </c>
      <c r="B59" s="29" t="s">
        <v>28</v>
      </c>
      <c r="C59" s="28">
        <v>28458.1</v>
      </c>
      <c r="D59" s="28">
        <f t="shared" si="10"/>
        <v>227664.8</v>
      </c>
      <c r="E59" s="28">
        <f t="shared" si="11"/>
        <v>398413.4</v>
      </c>
      <c r="F59" s="28">
        <f t="shared" si="12"/>
        <v>341497.2</v>
      </c>
      <c r="G59" s="28">
        <f t="shared" si="13"/>
        <v>85374.3</v>
      </c>
      <c r="H59" s="28">
        <f t="shared" si="14"/>
        <v>85374.3</v>
      </c>
      <c r="I59" s="45">
        <f t="shared" si="15"/>
        <v>1138324</v>
      </c>
      <c r="J59" s="46">
        <v>12509</v>
      </c>
      <c r="K59" s="47"/>
    </row>
    <row r="60" s="1" customFormat="1" ht="20" customHeight="1" spans="1:11">
      <c r="A60" s="22">
        <v>5</v>
      </c>
      <c r="B60" s="29" t="s">
        <v>48</v>
      </c>
      <c r="C60" s="28">
        <v>15192.3</v>
      </c>
      <c r="D60" s="28">
        <f t="shared" si="10"/>
        <v>121538.4</v>
      </c>
      <c r="E60" s="28">
        <f t="shared" si="11"/>
        <v>212692.2</v>
      </c>
      <c r="F60" s="28">
        <f t="shared" si="12"/>
        <v>182307.6</v>
      </c>
      <c r="G60" s="28">
        <f t="shared" si="13"/>
        <v>45576.9</v>
      </c>
      <c r="H60" s="28">
        <f t="shared" si="14"/>
        <v>45576.9</v>
      </c>
      <c r="I60" s="45">
        <f t="shared" si="15"/>
        <v>607692</v>
      </c>
      <c r="J60" s="46">
        <v>6894</v>
      </c>
      <c r="K60" s="47"/>
    </row>
    <row r="61" s="1" customFormat="1" ht="20" customHeight="1" spans="1:11">
      <c r="A61" s="22">
        <v>6</v>
      </c>
      <c r="B61" s="29" t="s">
        <v>49</v>
      </c>
      <c r="C61" s="28">
        <v>11927.3</v>
      </c>
      <c r="D61" s="28">
        <f t="shared" si="10"/>
        <v>95418.4</v>
      </c>
      <c r="E61" s="28">
        <f t="shared" si="11"/>
        <v>166982.2</v>
      </c>
      <c r="F61" s="28">
        <f t="shared" si="12"/>
        <v>143127.6</v>
      </c>
      <c r="G61" s="28">
        <f t="shared" si="13"/>
        <v>35781.9</v>
      </c>
      <c r="H61" s="28">
        <f t="shared" si="14"/>
        <v>35781.9</v>
      </c>
      <c r="I61" s="45">
        <f t="shared" si="15"/>
        <v>477092</v>
      </c>
      <c r="J61" s="46">
        <v>11182</v>
      </c>
      <c r="K61" s="47"/>
    </row>
    <row r="62" s="1" customFormat="1" ht="20" customHeight="1" spans="1:11">
      <c r="A62" s="22">
        <v>7</v>
      </c>
      <c r="B62" s="29" t="s">
        <v>50</v>
      </c>
      <c r="C62" s="28">
        <v>2615.1</v>
      </c>
      <c r="D62" s="28">
        <f t="shared" si="10"/>
        <v>20920.8</v>
      </c>
      <c r="E62" s="28">
        <f t="shared" si="11"/>
        <v>36611.4</v>
      </c>
      <c r="F62" s="28">
        <f t="shared" si="12"/>
        <v>31381.2</v>
      </c>
      <c r="G62" s="28">
        <f t="shared" si="13"/>
        <v>7845.3</v>
      </c>
      <c r="H62" s="28">
        <f t="shared" si="14"/>
        <v>7845.3</v>
      </c>
      <c r="I62" s="45">
        <f t="shared" si="15"/>
        <v>104604</v>
      </c>
      <c r="J62" s="46">
        <v>3307</v>
      </c>
      <c r="K62" s="47"/>
    </row>
    <row r="63" s="1" customFormat="1" ht="20" customHeight="1" spans="1:11">
      <c r="A63" s="22">
        <v>8</v>
      </c>
      <c r="B63" s="23" t="s">
        <v>51</v>
      </c>
      <c r="C63" s="28">
        <v>2966.2</v>
      </c>
      <c r="D63" s="28">
        <f t="shared" si="10"/>
        <v>23729.6</v>
      </c>
      <c r="E63" s="28">
        <f t="shared" si="11"/>
        <v>41526.8</v>
      </c>
      <c r="F63" s="28">
        <f t="shared" si="12"/>
        <v>35594.4</v>
      </c>
      <c r="G63" s="28">
        <f t="shared" si="13"/>
        <v>8898.6</v>
      </c>
      <c r="H63" s="28">
        <f t="shared" si="14"/>
        <v>8898.6</v>
      </c>
      <c r="I63" s="45">
        <f t="shared" si="15"/>
        <v>118648</v>
      </c>
      <c r="J63" s="46">
        <v>15096</v>
      </c>
      <c r="K63" s="47"/>
    </row>
    <row r="64" s="1" customFormat="1" ht="20" customHeight="1" spans="1:11">
      <c r="A64" s="22">
        <v>9</v>
      </c>
      <c r="B64" s="23" t="s">
        <v>52</v>
      </c>
      <c r="C64" s="28">
        <v>4484.8</v>
      </c>
      <c r="D64" s="28">
        <f t="shared" si="10"/>
        <v>35878.4</v>
      </c>
      <c r="E64" s="28">
        <f t="shared" si="11"/>
        <v>62787.2</v>
      </c>
      <c r="F64" s="28">
        <f t="shared" si="12"/>
        <v>53817.6</v>
      </c>
      <c r="G64" s="28">
        <f t="shared" si="13"/>
        <v>13454.4</v>
      </c>
      <c r="H64" s="28">
        <f t="shared" si="14"/>
        <v>13454.4</v>
      </c>
      <c r="I64" s="45">
        <f t="shared" si="15"/>
        <v>179392</v>
      </c>
      <c r="J64" s="46">
        <v>2997</v>
      </c>
      <c r="K64" s="47"/>
    </row>
    <row r="65" s="1" customFormat="1" ht="20" customHeight="1" spans="1:11">
      <c r="A65" s="22">
        <v>10</v>
      </c>
      <c r="B65" s="23" t="s">
        <v>54</v>
      </c>
      <c r="C65" s="28">
        <v>72.7</v>
      </c>
      <c r="D65" s="28">
        <f t="shared" si="10"/>
        <v>581.6</v>
      </c>
      <c r="E65" s="28">
        <f t="shared" si="11"/>
        <v>1017.8</v>
      </c>
      <c r="F65" s="28">
        <f t="shared" si="12"/>
        <v>872.4</v>
      </c>
      <c r="G65" s="28">
        <f t="shared" si="13"/>
        <v>218.1</v>
      </c>
      <c r="H65" s="28">
        <f t="shared" si="14"/>
        <v>218.1</v>
      </c>
      <c r="I65" s="45">
        <f t="shared" si="15"/>
        <v>2908</v>
      </c>
      <c r="J65" s="46">
        <v>1</v>
      </c>
      <c r="K65" s="47"/>
    </row>
    <row r="66" s="1" customFormat="1" ht="20" customHeight="1" spans="1:11">
      <c r="A66" s="22" t="s">
        <v>14</v>
      </c>
      <c r="B66" s="22" t="s">
        <v>16</v>
      </c>
      <c r="C66" s="28">
        <f t="shared" ref="C66:J66" si="16">SUM(C56:C65)</f>
        <v>80784.6</v>
      </c>
      <c r="D66" s="28">
        <f t="shared" si="16"/>
        <v>646276.8</v>
      </c>
      <c r="E66" s="28">
        <f t="shared" si="16"/>
        <v>1130984.4</v>
      </c>
      <c r="F66" s="28">
        <f t="shared" si="16"/>
        <v>969415.2</v>
      </c>
      <c r="G66" s="28">
        <f t="shared" si="16"/>
        <v>242353.8</v>
      </c>
      <c r="H66" s="28">
        <f t="shared" si="16"/>
        <v>242353.8</v>
      </c>
      <c r="I66" s="28">
        <f t="shared" si="16"/>
        <v>3231384</v>
      </c>
      <c r="J66" s="46">
        <f t="shared" si="16"/>
        <v>64159</v>
      </c>
      <c r="K66" s="47"/>
    </row>
    <row r="67" s="1" customFormat="1" spans="1:11">
      <c r="A67" s="6"/>
      <c r="B67" s="6"/>
      <c r="C67" s="32"/>
      <c r="D67" s="32"/>
      <c r="E67" s="32"/>
      <c r="F67" s="32"/>
      <c r="G67" s="32"/>
      <c r="H67" s="32"/>
      <c r="I67" s="32"/>
      <c r="J67" s="56"/>
      <c r="K67" s="57"/>
    </row>
    <row r="68" s="1" customFormat="1" spans="1:11">
      <c r="A68" s="6"/>
      <c r="B68" s="6"/>
      <c r="C68" s="32"/>
      <c r="D68" s="32"/>
      <c r="E68" s="32"/>
      <c r="F68" s="32"/>
      <c r="G68" s="32"/>
      <c r="H68" s="32"/>
      <c r="I68" s="32"/>
      <c r="J68" s="56"/>
      <c r="K68" s="57"/>
    </row>
    <row r="69" s="1" customFormat="1" spans="1:11">
      <c r="A69" s="6"/>
      <c r="B69" s="6"/>
      <c r="C69" s="32"/>
      <c r="D69" s="32"/>
      <c r="E69" s="32"/>
      <c r="F69" s="32"/>
      <c r="G69" s="32"/>
      <c r="H69" s="32"/>
      <c r="I69" s="32"/>
      <c r="J69" s="49"/>
      <c r="K69" s="49"/>
    </row>
    <row r="70" s="1" customFormat="1" spans="1:11">
      <c r="A70" s="6"/>
      <c r="B70" s="6"/>
      <c r="C70" s="32"/>
      <c r="D70" s="32"/>
      <c r="E70" s="32"/>
      <c r="F70" s="32"/>
      <c r="G70" s="32"/>
      <c r="H70" s="32"/>
      <c r="I70" s="32"/>
      <c r="J70" s="49"/>
      <c r="K70" s="49"/>
    </row>
    <row r="71" s="5" customFormat="1" ht="27" spans="1:11">
      <c r="A71" s="7" t="s">
        <v>56</v>
      </c>
      <c r="B71" s="26"/>
      <c r="C71" s="7"/>
      <c r="D71" s="7"/>
      <c r="E71" s="7"/>
      <c r="F71" s="7"/>
      <c r="G71" s="7"/>
      <c r="H71" s="7"/>
      <c r="I71" s="7"/>
      <c r="J71" s="7"/>
      <c r="K71" s="7"/>
    </row>
    <row r="72" s="1" customFormat="1" ht="20" customHeight="1" spans="1:11">
      <c r="A72" s="6" t="s">
        <v>37</v>
      </c>
      <c r="B72" s="6"/>
      <c r="C72" s="6"/>
      <c r="D72" s="6"/>
      <c r="E72" s="6"/>
      <c r="F72" s="6"/>
      <c r="G72" s="6"/>
      <c r="H72" s="6"/>
      <c r="J72" s="40" t="s">
        <v>38</v>
      </c>
      <c r="K72" s="43"/>
    </row>
    <row r="73" s="1" customFormat="1" ht="20" customHeight="1" spans="1:11">
      <c r="A73" s="20" t="s">
        <v>3</v>
      </c>
      <c r="B73" s="22" t="s">
        <v>39</v>
      </c>
      <c r="C73" s="20" t="s">
        <v>40</v>
      </c>
      <c r="D73" s="20" t="s">
        <v>57</v>
      </c>
      <c r="E73" s="20"/>
      <c r="F73" s="20"/>
      <c r="G73" s="20"/>
      <c r="H73" s="20"/>
      <c r="I73" s="20"/>
      <c r="J73" s="20" t="s">
        <v>7</v>
      </c>
      <c r="K73" s="20" t="s">
        <v>8</v>
      </c>
    </row>
    <row r="74" s="1" customFormat="1" ht="28.5" spans="1:11">
      <c r="A74" s="20"/>
      <c r="B74" s="27"/>
      <c r="C74" s="20"/>
      <c r="D74" s="20" t="s">
        <v>58</v>
      </c>
      <c r="E74" s="20" t="s">
        <v>59</v>
      </c>
      <c r="F74" s="20" t="s">
        <v>60</v>
      </c>
      <c r="G74" s="20" t="s">
        <v>61</v>
      </c>
      <c r="H74" s="20" t="s">
        <v>62</v>
      </c>
      <c r="I74" s="20" t="s">
        <v>14</v>
      </c>
      <c r="J74" s="20"/>
      <c r="K74" s="20"/>
    </row>
    <row r="75" s="1" customFormat="1" ht="20" customHeight="1" spans="1:11">
      <c r="A75" s="22">
        <v>1</v>
      </c>
      <c r="B75" s="23" t="s">
        <v>46</v>
      </c>
      <c r="C75" s="28">
        <v>8326.2</v>
      </c>
      <c r="D75" s="24">
        <f t="shared" ref="D75:D83" si="17">I75-E75-F75-G75-H75</f>
        <v>47958.91</v>
      </c>
      <c r="E75" s="24">
        <v>83928.1</v>
      </c>
      <c r="F75" s="24">
        <v>71938.37</v>
      </c>
      <c r="G75" s="24">
        <v>17984.59</v>
      </c>
      <c r="H75" s="24">
        <v>17984.59</v>
      </c>
      <c r="I75" s="24">
        <f t="shared" ref="I75:I83" si="18">C75*28.8</f>
        <v>239794.56</v>
      </c>
      <c r="J75" s="46">
        <v>7728</v>
      </c>
      <c r="K75" s="47"/>
    </row>
    <row r="76" s="1" customFormat="1" ht="20" customHeight="1" spans="1:11">
      <c r="A76" s="22">
        <v>2</v>
      </c>
      <c r="B76" s="29" t="s">
        <v>15</v>
      </c>
      <c r="C76" s="51">
        <v>13212.5</v>
      </c>
      <c r="D76" s="24">
        <f t="shared" si="17"/>
        <v>76104</v>
      </c>
      <c r="E76" s="24">
        <v>133182</v>
      </c>
      <c r="F76" s="24">
        <v>114156</v>
      </c>
      <c r="G76" s="24">
        <v>28539</v>
      </c>
      <c r="H76" s="24">
        <v>28539</v>
      </c>
      <c r="I76" s="24">
        <f t="shared" si="18"/>
        <v>380520</v>
      </c>
      <c r="J76" s="46">
        <v>7261</v>
      </c>
      <c r="K76" s="47"/>
    </row>
    <row r="77" s="1" customFormat="1" ht="20" customHeight="1" spans="1:11">
      <c r="A77" s="22">
        <v>3</v>
      </c>
      <c r="B77" s="29" t="s">
        <v>47</v>
      </c>
      <c r="C77" s="51">
        <v>5426.7</v>
      </c>
      <c r="D77" s="24">
        <f t="shared" si="17"/>
        <v>31257.79</v>
      </c>
      <c r="E77" s="24">
        <v>54701.14</v>
      </c>
      <c r="F77" s="24">
        <v>46886.69</v>
      </c>
      <c r="G77" s="24">
        <v>11721.67</v>
      </c>
      <c r="H77" s="24">
        <v>11721.67</v>
      </c>
      <c r="I77" s="24">
        <f t="shared" si="18"/>
        <v>156288.96</v>
      </c>
      <c r="J77" s="46">
        <v>3097</v>
      </c>
      <c r="K77" s="47"/>
    </row>
    <row r="78" s="1" customFormat="1" ht="20" customHeight="1" spans="1:11">
      <c r="A78" s="22">
        <v>4</v>
      </c>
      <c r="B78" s="29" t="s">
        <v>50</v>
      </c>
      <c r="C78" s="51">
        <v>13242.3</v>
      </c>
      <c r="D78" s="24">
        <f t="shared" si="17"/>
        <v>76275.66</v>
      </c>
      <c r="E78" s="24">
        <v>133482.38</v>
      </c>
      <c r="F78" s="24">
        <v>114413.48</v>
      </c>
      <c r="G78" s="24">
        <v>28603.36</v>
      </c>
      <c r="H78" s="24">
        <v>28603.36</v>
      </c>
      <c r="I78" s="24">
        <f t="shared" si="18"/>
        <v>381378.24</v>
      </c>
      <c r="J78" s="46">
        <v>6924</v>
      </c>
      <c r="K78" s="47"/>
    </row>
    <row r="79" s="1" customFormat="1" ht="20" customHeight="1" spans="1:11">
      <c r="A79" s="22">
        <v>5</v>
      </c>
      <c r="B79" s="23" t="s">
        <v>51</v>
      </c>
      <c r="C79" s="24">
        <v>3503.1</v>
      </c>
      <c r="D79" s="24">
        <f t="shared" si="17"/>
        <v>20177.84</v>
      </c>
      <c r="E79" s="24">
        <v>35311.25</v>
      </c>
      <c r="F79" s="24">
        <v>30266.77</v>
      </c>
      <c r="G79" s="24">
        <v>7566.71</v>
      </c>
      <c r="H79" s="24">
        <v>7566.71</v>
      </c>
      <c r="I79" s="24">
        <f t="shared" si="18"/>
        <v>100889.28</v>
      </c>
      <c r="J79" s="46">
        <v>2849</v>
      </c>
      <c r="K79" s="47"/>
    </row>
    <row r="80" s="1" customFormat="1" ht="20" customHeight="1" spans="1:11">
      <c r="A80" s="22">
        <v>6</v>
      </c>
      <c r="B80" s="23" t="s">
        <v>63</v>
      </c>
      <c r="C80" s="24">
        <v>20175.9</v>
      </c>
      <c r="D80" s="24">
        <f t="shared" si="17"/>
        <v>116213.21</v>
      </c>
      <c r="E80" s="24">
        <v>203373.06</v>
      </c>
      <c r="F80" s="24">
        <v>174319.79</v>
      </c>
      <c r="G80" s="24">
        <v>43579.93</v>
      </c>
      <c r="H80" s="24">
        <v>43579.93</v>
      </c>
      <c r="I80" s="24">
        <f t="shared" si="18"/>
        <v>581065.92</v>
      </c>
      <c r="J80" s="46">
        <v>6850</v>
      </c>
      <c r="K80" s="47"/>
    </row>
    <row r="81" s="1" customFormat="1" ht="20" customHeight="1" spans="1:11">
      <c r="A81" s="22">
        <v>7</v>
      </c>
      <c r="B81" s="23" t="s">
        <v>28</v>
      </c>
      <c r="C81" s="24">
        <v>379.7</v>
      </c>
      <c r="D81" s="24">
        <f t="shared" si="17"/>
        <v>2187.07</v>
      </c>
      <c r="E81" s="24">
        <v>3827.38</v>
      </c>
      <c r="F81" s="24">
        <v>3280.61</v>
      </c>
      <c r="G81" s="24">
        <v>820.15</v>
      </c>
      <c r="H81" s="24">
        <v>820.15</v>
      </c>
      <c r="I81" s="24">
        <f t="shared" si="18"/>
        <v>10935.36</v>
      </c>
      <c r="J81" s="46">
        <v>167</v>
      </c>
      <c r="K81" s="47"/>
    </row>
    <row r="82" s="1" customFormat="1" ht="20" customHeight="1" spans="1:11">
      <c r="A82" s="22">
        <v>8</v>
      </c>
      <c r="B82" s="23" t="s">
        <v>64</v>
      </c>
      <c r="C82" s="28">
        <v>6598.9</v>
      </c>
      <c r="D82" s="24">
        <f t="shared" si="17"/>
        <v>38009.68</v>
      </c>
      <c r="E82" s="24">
        <v>66516.91</v>
      </c>
      <c r="F82" s="24">
        <v>57014.51</v>
      </c>
      <c r="G82" s="24">
        <v>14253.61</v>
      </c>
      <c r="H82" s="24">
        <v>14253.61</v>
      </c>
      <c r="I82" s="24">
        <f t="shared" si="18"/>
        <v>190048.32</v>
      </c>
      <c r="J82" s="46">
        <v>2923</v>
      </c>
      <c r="K82" s="47"/>
    </row>
    <row r="83" s="1" customFormat="1" ht="20" customHeight="1" spans="1:11">
      <c r="A83" s="22">
        <v>9</v>
      </c>
      <c r="B83" s="23" t="s">
        <v>48</v>
      </c>
      <c r="C83" s="28">
        <v>309</v>
      </c>
      <c r="D83" s="24">
        <f t="shared" si="17"/>
        <v>1779.84</v>
      </c>
      <c r="E83" s="24">
        <v>3114.72</v>
      </c>
      <c r="F83" s="24">
        <v>2669.76</v>
      </c>
      <c r="G83" s="24">
        <v>667.44</v>
      </c>
      <c r="H83" s="24">
        <v>667.44</v>
      </c>
      <c r="I83" s="24">
        <f t="shared" si="18"/>
        <v>8899.2</v>
      </c>
      <c r="J83" s="46">
        <v>2</v>
      </c>
      <c r="K83" s="47"/>
    </row>
    <row r="84" s="1" customFormat="1" ht="20" customHeight="1" spans="1:11">
      <c r="A84" s="23" t="s">
        <v>14</v>
      </c>
      <c r="B84" s="22" t="s">
        <v>16</v>
      </c>
      <c r="C84" s="28">
        <f t="shared" ref="C84:J84" si="19">SUM(C75:C83)</f>
        <v>71174.3</v>
      </c>
      <c r="D84" s="24">
        <f t="shared" si="19"/>
        <v>409964</v>
      </c>
      <c r="E84" s="24">
        <f t="shared" si="19"/>
        <v>717436.94</v>
      </c>
      <c r="F84" s="24">
        <f t="shared" si="19"/>
        <v>614945.98</v>
      </c>
      <c r="G84" s="24">
        <f t="shared" si="19"/>
        <v>153736.46</v>
      </c>
      <c r="H84" s="24">
        <f t="shared" si="19"/>
        <v>153736.46</v>
      </c>
      <c r="I84" s="24">
        <f t="shared" si="19"/>
        <v>2049819.84</v>
      </c>
      <c r="J84" s="46">
        <f t="shared" si="19"/>
        <v>37801</v>
      </c>
      <c r="K84" s="47"/>
    </row>
    <row r="85" s="6" customFormat="1" ht="40" customHeight="1" spans="1:22">
      <c r="A85" s="52" t="s">
        <v>65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90" s="5" customFormat="1" ht="27" spans="1:11">
      <c r="A90" s="7" t="s">
        <v>66</v>
      </c>
      <c r="B90" s="26"/>
      <c r="C90" s="7"/>
      <c r="D90" s="7"/>
      <c r="E90" s="7"/>
      <c r="F90" s="7"/>
      <c r="G90" s="7"/>
      <c r="H90" s="7"/>
      <c r="I90" s="7"/>
      <c r="J90" s="7"/>
      <c r="K90" s="7"/>
    </row>
    <row r="91" s="1" customFormat="1" ht="20" customHeight="1" spans="1:11">
      <c r="A91" s="6" t="s">
        <v>37</v>
      </c>
      <c r="B91" s="6"/>
      <c r="C91" s="6"/>
      <c r="D91" s="6"/>
      <c r="E91" s="6"/>
      <c r="F91" s="6"/>
      <c r="G91" s="6"/>
      <c r="H91" s="6"/>
      <c r="J91" s="40" t="s">
        <v>38</v>
      </c>
      <c r="K91" s="40"/>
    </row>
    <row r="92" s="1" customFormat="1" ht="20" customHeight="1" spans="1:11">
      <c r="A92" s="20" t="s">
        <v>3</v>
      </c>
      <c r="B92" s="22" t="s">
        <v>39</v>
      </c>
      <c r="C92" s="20" t="s">
        <v>40</v>
      </c>
      <c r="D92" s="20" t="s">
        <v>57</v>
      </c>
      <c r="E92" s="20"/>
      <c r="F92" s="20"/>
      <c r="G92" s="20"/>
      <c r="H92" s="20"/>
      <c r="I92" s="20"/>
      <c r="J92" s="20" t="s">
        <v>7</v>
      </c>
      <c r="K92" s="20" t="s">
        <v>8</v>
      </c>
    </row>
    <row r="93" s="1" customFormat="1" ht="28.5" spans="1:11">
      <c r="A93" s="20"/>
      <c r="B93" s="27"/>
      <c r="C93" s="20"/>
      <c r="D93" s="20" t="s">
        <v>58</v>
      </c>
      <c r="E93" s="20" t="s">
        <v>59</v>
      </c>
      <c r="F93" s="20" t="s">
        <v>60</v>
      </c>
      <c r="G93" s="20" t="s">
        <v>61</v>
      </c>
      <c r="H93" s="20" t="s">
        <v>62</v>
      </c>
      <c r="I93" s="20" t="s">
        <v>14</v>
      </c>
      <c r="J93" s="20"/>
      <c r="K93" s="20"/>
    </row>
    <row r="94" s="1" customFormat="1" ht="20" customHeight="1" spans="1:11">
      <c r="A94" s="22">
        <v>1</v>
      </c>
      <c r="B94" s="53" t="s">
        <v>46</v>
      </c>
      <c r="C94" s="28">
        <v>4688.1</v>
      </c>
      <c r="D94" s="24">
        <v>27003.44</v>
      </c>
      <c r="E94" s="24">
        <v>47256.07</v>
      </c>
      <c r="F94" s="24">
        <v>40505.19</v>
      </c>
      <c r="G94" s="24">
        <v>10126.29</v>
      </c>
      <c r="H94" s="24">
        <v>10126.29</v>
      </c>
      <c r="I94" s="24">
        <f>SUM(D94:H94)</f>
        <v>135017.28</v>
      </c>
      <c r="J94" s="46">
        <v>5107</v>
      </c>
      <c r="K94" s="47"/>
    </row>
    <row r="95" s="1" customFormat="1" ht="20" customHeight="1" spans="1:11">
      <c r="A95" s="22">
        <v>2</v>
      </c>
      <c r="B95" s="54" t="s">
        <v>15</v>
      </c>
      <c r="C95" s="51">
        <v>6704</v>
      </c>
      <c r="D95" s="24">
        <v>38615.03</v>
      </c>
      <c r="E95" s="24">
        <v>67576.33</v>
      </c>
      <c r="F95" s="24">
        <v>57922.56</v>
      </c>
      <c r="G95" s="24">
        <v>14480.64</v>
      </c>
      <c r="H95" s="24">
        <v>14480.64</v>
      </c>
      <c r="I95" s="24">
        <f t="shared" ref="I95:I101" si="20">SUM(D95:H95)</f>
        <v>193075.2</v>
      </c>
      <c r="J95" s="46">
        <v>6089</v>
      </c>
      <c r="K95" s="47"/>
    </row>
    <row r="96" s="1" customFormat="1" ht="20" customHeight="1" spans="1:11">
      <c r="A96" s="22">
        <v>3</v>
      </c>
      <c r="B96" s="54" t="s">
        <v>47</v>
      </c>
      <c r="C96" s="51">
        <v>844.5</v>
      </c>
      <c r="D96" s="24">
        <v>4864.3</v>
      </c>
      <c r="E96" s="24">
        <v>8512.57</v>
      </c>
      <c r="F96" s="24">
        <v>7296.47</v>
      </c>
      <c r="G96" s="24">
        <v>1824.13</v>
      </c>
      <c r="H96" s="24">
        <v>1824.13</v>
      </c>
      <c r="I96" s="24">
        <f t="shared" si="20"/>
        <v>24321.6</v>
      </c>
      <c r="J96" s="46">
        <v>961</v>
      </c>
      <c r="K96" s="47"/>
    </row>
    <row r="97" s="1" customFormat="1" ht="20" customHeight="1" spans="1:11">
      <c r="A97" s="22">
        <v>4</v>
      </c>
      <c r="B97" s="54" t="s">
        <v>50</v>
      </c>
      <c r="C97" s="51">
        <v>4566.4</v>
      </c>
      <c r="D97" s="24">
        <v>26302.47</v>
      </c>
      <c r="E97" s="24">
        <v>46029.3</v>
      </c>
      <c r="F97" s="24">
        <v>39453.69</v>
      </c>
      <c r="G97" s="24">
        <v>9863.43</v>
      </c>
      <c r="H97" s="24">
        <v>9863.43</v>
      </c>
      <c r="I97" s="24">
        <f t="shared" si="20"/>
        <v>131512.32</v>
      </c>
      <c r="J97" s="46">
        <v>3792</v>
      </c>
      <c r="K97" s="47"/>
    </row>
    <row r="98" s="1" customFormat="1" ht="20" customHeight="1" spans="1:11">
      <c r="A98" s="22">
        <v>5</v>
      </c>
      <c r="B98" s="53" t="s">
        <v>51</v>
      </c>
      <c r="C98" s="24">
        <v>3461</v>
      </c>
      <c r="D98" s="24">
        <v>19935.35</v>
      </c>
      <c r="E98" s="24">
        <v>34886.88</v>
      </c>
      <c r="F98" s="24">
        <v>29903.03</v>
      </c>
      <c r="G98" s="24">
        <v>7475.77</v>
      </c>
      <c r="H98" s="24">
        <v>7475.77</v>
      </c>
      <c r="I98" s="24">
        <f t="shared" si="20"/>
        <v>99676.8</v>
      </c>
      <c r="J98" s="46">
        <v>2848</v>
      </c>
      <c r="K98" s="47"/>
    </row>
    <row r="99" s="1" customFormat="1" ht="20" customHeight="1" spans="1:11">
      <c r="A99" s="22">
        <v>6</v>
      </c>
      <c r="B99" s="53" t="s">
        <v>64</v>
      </c>
      <c r="C99" s="28">
        <v>3211.3</v>
      </c>
      <c r="D99" s="24">
        <v>18497.1</v>
      </c>
      <c r="E99" s="24">
        <v>32369.9</v>
      </c>
      <c r="F99" s="24">
        <v>27745.64</v>
      </c>
      <c r="G99" s="24">
        <v>6936.4</v>
      </c>
      <c r="H99" s="24">
        <v>6936.4</v>
      </c>
      <c r="I99" s="24">
        <f t="shared" si="20"/>
        <v>92485.44</v>
      </c>
      <c r="J99" s="46">
        <v>1549</v>
      </c>
      <c r="K99" s="47"/>
    </row>
    <row r="100" s="1" customFormat="1" ht="20" customHeight="1" spans="1:11">
      <c r="A100" s="22">
        <v>7</v>
      </c>
      <c r="B100" s="53" t="s">
        <v>48</v>
      </c>
      <c r="C100" s="28">
        <v>303</v>
      </c>
      <c r="D100" s="24">
        <v>1745.28</v>
      </c>
      <c r="E100" s="24">
        <v>3054.24</v>
      </c>
      <c r="F100" s="24">
        <v>2617.92</v>
      </c>
      <c r="G100" s="24">
        <v>654.48</v>
      </c>
      <c r="H100" s="24">
        <v>654.48</v>
      </c>
      <c r="I100" s="24">
        <f t="shared" si="20"/>
        <v>8726.4</v>
      </c>
      <c r="J100" s="46">
        <v>1</v>
      </c>
      <c r="K100" s="47"/>
    </row>
    <row r="101" s="1" customFormat="1" ht="20" customHeight="1" spans="1:11">
      <c r="A101" s="22">
        <v>8</v>
      </c>
      <c r="B101" s="53" t="s">
        <v>54</v>
      </c>
      <c r="C101" s="28">
        <v>417.3</v>
      </c>
      <c r="D101" s="24">
        <v>2403.65</v>
      </c>
      <c r="E101" s="24">
        <v>4206.38</v>
      </c>
      <c r="F101" s="24">
        <v>3605.47</v>
      </c>
      <c r="G101" s="24">
        <v>901.37</v>
      </c>
      <c r="H101" s="24">
        <v>901.37</v>
      </c>
      <c r="I101" s="24">
        <f t="shared" si="20"/>
        <v>12018.24</v>
      </c>
      <c r="J101" s="46">
        <v>1</v>
      </c>
      <c r="K101" s="47"/>
    </row>
    <row r="102" s="1" customFormat="1" ht="20" customHeight="1" spans="1:11">
      <c r="A102" s="23" t="s">
        <v>14</v>
      </c>
      <c r="B102" s="22" t="s">
        <v>16</v>
      </c>
      <c r="C102" s="28">
        <f t="shared" ref="C102:J102" si="21">SUM(C94:C101)</f>
        <v>24195.6</v>
      </c>
      <c r="D102" s="24">
        <f t="shared" si="21"/>
        <v>139366.62</v>
      </c>
      <c r="E102" s="24">
        <f t="shared" si="21"/>
        <v>243891.67</v>
      </c>
      <c r="F102" s="24">
        <f t="shared" si="21"/>
        <v>209049.97</v>
      </c>
      <c r="G102" s="24">
        <f t="shared" si="21"/>
        <v>52262.51</v>
      </c>
      <c r="H102" s="24">
        <f t="shared" si="21"/>
        <v>52262.51</v>
      </c>
      <c r="I102" s="24">
        <f t="shared" si="21"/>
        <v>696833.28</v>
      </c>
      <c r="J102" s="46">
        <f t="shared" si="21"/>
        <v>20348</v>
      </c>
      <c r="K102" s="47"/>
    </row>
    <row r="103" s="6" customFormat="1" ht="40" customHeight="1" spans="1:22">
      <c r="A103" s="52" t="s">
        <v>67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</row>
    <row r="108" s="5" customFormat="1" ht="27" spans="1:11">
      <c r="A108" s="7" t="s">
        <v>68</v>
      </c>
      <c r="B108" s="26"/>
      <c r="C108" s="7"/>
      <c r="D108" s="7"/>
      <c r="E108" s="7"/>
      <c r="F108" s="7"/>
      <c r="G108" s="7"/>
      <c r="H108" s="7"/>
      <c r="I108" s="7"/>
      <c r="J108" s="7"/>
      <c r="K108" s="7"/>
    </row>
    <row r="109" s="1" customFormat="1" ht="20" customHeight="1" spans="1:11">
      <c r="A109" s="6" t="s">
        <v>37</v>
      </c>
      <c r="B109" s="6"/>
      <c r="C109" s="6"/>
      <c r="D109" s="6"/>
      <c r="E109" s="6"/>
      <c r="F109" s="6"/>
      <c r="G109" s="6"/>
      <c r="H109" s="6"/>
      <c r="J109" s="40" t="s">
        <v>38</v>
      </c>
      <c r="K109" s="40"/>
    </row>
    <row r="110" s="1" customFormat="1" ht="20" customHeight="1" spans="1:11">
      <c r="A110" s="20" t="s">
        <v>3</v>
      </c>
      <c r="B110" s="22" t="s">
        <v>69</v>
      </c>
      <c r="C110" s="20" t="s">
        <v>40</v>
      </c>
      <c r="D110" s="20" t="s">
        <v>70</v>
      </c>
      <c r="E110" s="20"/>
      <c r="F110" s="20"/>
      <c r="G110" s="20"/>
      <c r="H110" s="20"/>
      <c r="I110" s="20"/>
      <c r="J110" s="20" t="s">
        <v>7</v>
      </c>
      <c r="K110" s="20" t="s">
        <v>8</v>
      </c>
    </row>
    <row r="111" s="1" customFormat="1" ht="28.5" spans="1:11">
      <c r="A111" s="20"/>
      <c r="B111" s="27"/>
      <c r="C111" s="20"/>
      <c r="D111" s="20" t="s">
        <v>71</v>
      </c>
      <c r="E111" s="20" t="s">
        <v>72</v>
      </c>
      <c r="F111" s="20" t="s">
        <v>73</v>
      </c>
      <c r="G111" s="20" t="s">
        <v>34</v>
      </c>
      <c r="H111" s="20" t="s">
        <v>35</v>
      </c>
      <c r="I111" s="20" t="s">
        <v>14</v>
      </c>
      <c r="J111" s="20"/>
      <c r="K111" s="20"/>
    </row>
    <row r="112" s="1" customFormat="1" ht="20" customHeight="1" spans="1:11">
      <c r="A112" s="22">
        <v>1</v>
      </c>
      <c r="B112" s="54" t="s">
        <v>15</v>
      </c>
      <c r="C112" s="51">
        <v>5738</v>
      </c>
      <c r="D112" s="24">
        <v>34427.94</v>
      </c>
      <c r="E112" s="24">
        <v>60249</v>
      </c>
      <c r="F112" s="24">
        <v>51642</v>
      </c>
      <c r="G112" s="24">
        <v>12910.53</v>
      </c>
      <c r="H112" s="24">
        <v>12910.53</v>
      </c>
      <c r="I112" s="24">
        <f>SUM(D112:H112)</f>
        <v>172140</v>
      </c>
      <c r="J112" s="46">
        <v>6649</v>
      </c>
      <c r="K112" s="47"/>
    </row>
    <row r="113" s="1" customFormat="1" ht="20" customHeight="1" spans="1:11">
      <c r="A113" s="23" t="s">
        <v>14</v>
      </c>
      <c r="B113" s="22" t="s">
        <v>16</v>
      </c>
      <c r="C113" s="28">
        <f>C112</f>
        <v>5738</v>
      </c>
      <c r="D113" s="28">
        <f t="shared" ref="D113:J113" si="22">D112</f>
        <v>34427.94</v>
      </c>
      <c r="E113" s="28">
        <f t="shared" si="22"/>
        <v>60249</v>
      </c>
      <c r="F113" s="28">
        <f t="shared" si="22"/>
        <v>51642</v>
      </c>
      <c r="G113" s="28">
        <f t="shared" si="22"/>
        <v>12910.53</v>
      </c>
      <c r="H113" s="28">
        <f t="shared" si="22"/>
        <v>12910.53</v>
      </c>
      <c r="I113" s="28">
        <f t="shared" si="22"/>
        <v>172140</v>
      </c>
      <c r="J113" s="46">
        <f t="shared" si="22"/>
        <v>6649</v>
      </c>
      <c r="K113" s="47"/>
    </row>
    <row r="114" s="6" customFormat="1" ht="40" customHeight="1" spans="1:22">
      <c r="A114" s="52" t="s">
        <v>74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9" s="5" customFormat="1" ht="27" spans="1:11">
      <c r="A119" s="7" t="s">
        <v>75</v>
      </c>
      <c r="B119" s="26"/>
      <c r="C119" s="7"/>
      <c r="D119" s="7"/>
      <c r="E119" s="7"/>
      <c r="F119" s="7"/>
      <c r="G119" s="7"/>
      <c r="H119" s="7"/>
      <c r="I119" s="7"/>
      <c r="J119" s="7"/>
      <c r="K119" s="7"/>
    </row>
    <row r="120" s="1" customFormat="1" ht="20" customHeight="1" spans="1:13">
      <c r="A120" s="1" t="s">
        <v>37</v>
      </c>
      <c r="D120" s="6"/>
      <c r="J120" s="40" t="s">
        <v>19</v>
      </c>
      <c r="K120" s="40"/>
      <c r="M120" s="6"/>
    </row>
    <row r="121" s="1" customFormat="1" ht="20" customHeight="1" spans="1:11">
      <c r="A121" s="20" t="s">
        <v>3</v>
      </c>
      <c r="B121" s="22" t="s">
        <v>69</v>
      </c>
      <c r="C121" s="20" t="s">
        <v>5</v>
      </c>
      <c r="D121" s="20" t="s">
        <v>76</v>
      </c>
      <c r="E121" s="20"/>
      <c r="F121" s="20"/>
      <c r="G121" s="20"/>
      <c r="H121" s="20"/>
      <c r="I121" s="20"/>
      <c r="J121" s="20" t="s">
        <v>7</v>
      </c>
      <c r="K121" s="20" t="s">
        <v>8</v>
      </c>
    </row>
    <row r="122" s="1" customFormat="1" ht="20" customHeight="1" spans="1:11">
      <c r="A122" s="20"/>
      <c r="B122" s="27"/>
      <c r="C122" s="20"/>
      <c r="D122" s="20" t="s">
        <v>77</v>
      </c>
      <c r="E122" s="20" t="s">
        <v>78</v>
      </c>
      <c r="F122" s="21" t="s">
        <v>79</v>
      </c>
      <c r="G122" s="55" t="s">
        <v>80</v>
      </c>
      <c r="H122" s="55" t="s">
        <v>81</v>
      </c>
      <c r="I122" s="44" t="s">
        <v>14</v>
      </c>
      <c r="J122" s="20"/>
      <c r="K122" s="20"/>
    </row>
    <row r="123" s="1" customFormat="1" ht="20" customHeight="1" spans="1:11">
      <c r="A123" s="22">
        <v>1</v>
      </c>
      <c r="B123" s="54" t="s">
        <v>48</v>
      </c>
      <c r="C123" s="29">
        <v>210</v>
      </c>
      <c r="D123" s="28">
        <f>C123*16</f>
        <v>3360</v>
      </c>
      <c r="E123" s="28">
        <v>0</v>
      </c>
      <c r="F123" s="28">
        <f>C123*28</f>
        <v>5880</v>
      </c>
      <c r="G123" s="28">
        <f>C123*18</f>
        <v>3780</v>
      </c>
      <c r="H123" s="28">
        <f>C123*18</f>
        <v>3780</v>
      </c>
      <c r="I123" s="28">
        <f>SUM(D123:H123)</f>
        <v>16800</v>
      </c>
      <c r="J123" s="46">
        <v>1</v>
      </c>
      <c r="K123" s="47"/>
    </row>
    <row r="124" s="1" customFormat="1" ht="20" customHeight="1" spans="1:11">
      <c r="A124" s="22">
        <v>2</v>
      </c>
      <c r="B124" s="54" t="s">
        <v>28</v>
      </c>
      <c r="C124" s="29">
        <v>1128</v>
      </c>
      <c r="D124" s="28">
        <f>C124*16</f>
        <v>18048</v>
      </c>
      <c r="E124" s="28">
        <v>0</v>
      </c>
      <c r="F124" s="28">
        <f>C124*24</f>
        <v>27072</v>
      </c>
      <c r="G124" s="28">
        <f>C124*20</f>
        <v>22560</v>
      </c>
      <c r="H124" s="28">
        <f>C124*20</f>
        <v>22560</v>
      </c>
      <c r="I124" s="28">
        <f>SUM(D124:H124)</f>
        <v>90240</v>
      </c>
      <c r="J124" s="46">
        <v>2</v>
      </c>
      <c r="K124" s="47"/>
    </row>
    <row r="125" s="1" customFormat="1" ht="20" customHeight="1" spans="1:11">
      <c r="A125" s="22">
        <v>3</v>
      </c>
      <c r="B125" s="54" t="s">
        <v>63</v>
      </c>
      <c r="C125" s="29">
        <v>630</v>
      </c>
      <c r="D125" s="28">
        <f>C125*16</f>
        <v>10080</v>
      </c>
      <c r="E125" s="28">
        <v>0</v>
      </c>
      <c r="F125" s="28">
        <f>C125*24</f>
        <v>15120</v>
      </c>
      <c r="G125" s="28">
        <f>C125*20</f>
        <v>12600</v>
      </c>
      <c r="H125" s="28">
        <f>C125*20</f>
        <v>12600</v>
      </c>
      <c r="I125" s="28">
        <f>SUM(D125:H125)</f>
        <v>50400</v>
      </c>
      <c r="J125" s="46">
        <v>1</v>
      </c>
      <c r="K125" s="47"/>
    </row>
    <row r="126" s="1" customFormat="1" ht="20" customHeight="1" spans="1:11">
      <c r="A126" s="23" t="s">
        <v>14</v>
      </c>
      <c r="B126" s="22" t="s">
        <v>16</v>
      </c>
      <c r="C126" s="23">
        <f t="shared" ref="C126:J126" si="23">SUM(C123:C125)</f>
        <v>1968</v>
      </c>
      <c r="D126" s="28">
        <f t="shared" si="23"/>
        <v>31488</v>
      </c>
      <c r="E126" s="28">
        <f t="shared" si="23"/>
        <v>0</v>
      </c>
      <c r="F126" s="28">
        <f t="shared" si="23"/>
        <v>48072</v>
      </c>
      <c r="G126" s="28">
        <f t="shared" si="23"/>
        <v>38940</v>
      </c>
      <c r="H126" s="28">
        <f t="shared" si="23"/>
        <v>38940</v>
      </c>
      <c r="I126" s="28">
        <f t="shared" si="23"/>
        <v>157440</v>
      </c>
      <c r="J126" s="46">
        <f t="shared" si="23"/>
        <v>4</v>
      </c>
      <c r="K126" s="47"/>
    </row>
    <row r="131" s="1" customFormat="1" ht="30" customHeight="1" spans="1:11">
      <c r="A131" s="7" t="s">
        <v>82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="1" customFormat="1" ht="26" customHeight="1" spans="1:11">
      <c r="A132" s="6" t="s">
        <v>37</v>
      </c>
      <c r="B132" s="6"/>
      <c r="C132" s="6"/>
      <c r="D132" s="59"/>
      <c r="E132" s="59"/>
      <c r="F132" s="59"/>
      <c r="G132" s="59"/>
      <c r="H132" s="59"/>
      <c r="I132" s="59"/>
      <c r="J132" s="36" t="s">
        <v>83</v>
      </c>
      <c r="K132" s="36"/>
    </row>
    <row r="133" s="1" customFormat="1" ht="31" customHeight="1" spans="1:11">
      <c r="A133" s="9" t="s">
        <v>3</v>
      </c>
      <c r="B133" s="9" t="s">
        <v>4</v>
      </c>
      <c r="C133" s="9" t="s">
        <v>5</v>
      </c>
      <c r="D133" s="10" t="s">
        <v>84</v>
      </c>
      <c r="E133" s="11"/>
      <c r="F133" s="11"/>
      <c r="G133" s="11"/>
      <c r="H133" s="11"/>
      <c r="I133" s="37"/>
      <c r="J133" s="9" t="s">
        <v>7</v>
      </c>
      <c r="K133" s="9" t="s">
        <v>8</v>
      </c>
    </row>
    <row r="134" s="1" customFormat="1" ht="24" customHeight="1" spans="1:11">
      <c r="A134" s="12"/>
      <c r="B134" s="12"/>
      <c r="C134" s="12"/>
      <c r="D134" s="13" t="s">
        <v>85</v>
      </c>
      <c r="E134" s="13" t="s">
        <v>10</v>
      </c>
      <c r="F134" s="13" t="s">
        <v>86</v>
      </c>
      <c r="G134" s="13" t="s">
        <v>87</v>
      </c>
      <c r="H134" s="13" t="s">
        <v>88</v>
      </c>
      <c r="I134" s="13" t="s">
        <v>14</v>
      </c>
      <c r="J134" s="12"/>
      <c r="K134" s="12"/>
    </row>
    <row r="135" s="1" customFormat="1" ht="20" customHeight="1" spans="1:11">
      <c r="A135" s="12">
        <v>1</v>
      </c>
      <c r="B135" s="12" t="s">
        <v>54</v>
      </c>
      <c r="C135" s="12">
        <v>338</v>
      </c>
      <c r="D135" s="14">
        <f>C135*60</f>
        <v>20280</v>
      </c>
      <c r="E135" s="15">
        <f>C135*0</f>
        <v>0</v>
      </c>
      <c r="F135" s="15">
        <f>C135*150</f>
        <v>50700</v>
      </c>
      <c r="G135" s="15">
        <f>C135*45</f>
        <v>15210</v>
      </c>
      <c r="H135" s="15">
        <f>C135*45</f>
        <v>15210</v>
      </c>
      <c r="I135" s="15">
        <f>SUM(D135:H135)</f>
        <v>101400</v>
      </c>
      <c r="J135" s="12">
        <v>2</v>
      </c>
      <c r="K135" s="12"/>
    </row>
    <row r="136" s="1" customFormat="1" ht="20" customHeight="1" spans="1:11">
      <c r="A136" s="12">
        <v>2</v>
      </c>
      <c r="B136" s="12" t="s">
        <v>28</v>
      </c>
      <c r="C136" s="12">
        <v>2436</v>
      </c>
      <c r="D136" s="14">
        <f t="shared" ref="D136:D144" si="24">C136*60</f>
        <v>146160</v>
      </c>
      <c r="E136" s="15">
        <f t="shared" ref="E136:E144" si="25">C136*0</f>
        <v>0</v>
      </c>
      <c r="F136" s="15">
        <f t="shared" ref="F136:F144" si="26">C136*150</f>
        <v>365400</v>
      </c>
      <c r="G136" s="15">
        <f t="shared" ref="G136:G144" si="27">C136*45</f>
        <v>109620</v>
      </c>
      <c r="H136" s="15">
        <f t="shared" ref="H136:H144" si="28">C136*45</f>
        <v>109620</v>
      </c>
      <c r="I136" s="15">
        <f t="shared" ref="I136:I144" si="29">SUM(D136:H136)</f>
        <v>730800</v>
      </c>
      <c r="J136" s="12">
        <v>17</v>
      </c>
      <c r="K136" s="12"/>
    </row>
    <row r="137" s="1" customFormat="1" ht="20" customHeight="1" spans="1:11">
      <c r="A137" s="12">
        <v>3</v>
      </c>
      <c r="B137" s="12" t="s">
        <v>47</v>
      </c>
      <c r="C137" s="12">
        <v>859</v>
      </c>
      <c r="D137" s="14">
        <f t="shared" si="24"/>
        <v>51540</v>
      </c>
      <c r="E137" s="15">
        <f t="shared" si="25"/>
        <v>0</v>
      </c>
      <c r="F137" s="15">
        <f t="shared" si="26"/>
        <v>128850</v>
      </c>
      <c r="G137" s="15">
        <f t="shared" si="27"/>
        <v>38655</v>
      </c>
      <c r="H137" s="15">
        <f t="shared" si="28"/>
        <v>38655</v>
      </c>
      <c r="I137" s="15">
        <f t="shared" si="29"/>
        <v>257700</v>
      </c>
      <c r="J137" s="12">
        <v>2</v>
      </c>
      <c r="K137" s="12"/>
    </row>
    <row r="138" s="1" customFormat="1" ht="20" customHeight="1" spans="1:11">
      <c r="A138" s="12">
        <v>4</v>
      </c>
      <c r="B138" s="12" t="s">
        <v>48</v>
      </c>
      <c r="C138" s="12">
        <v>667</v>
      </c>
      <c r="D138" s="14">
        <f t="shared" si="24"/>
        <v>40020</v>
      </c>
      <c r="E138" s="15">
        <f t="shared" si="25"/>
        <v>0</v>
      </c>
      <c r="F138" s="15">
        <f t="shared" si="26"/>
        <v>100050</v>
      </c>
      <c r="G138" s="15">
        <f t="shared" si="27"/>
        <v>30015</v>
      </c>
      <c r="H138" s="15">
        <f t="shared" si="28"/>
        <v>30015</v>
      </c>
      <c r="I138" s="15">
        <f t="shared" si="29"/>
        <v>200100</v>
      </c>
      <c r="J138" s="12">
        <v>4</v>
      </c>
      <c r="K138" s="12"/>
    </row>
    <row r="139" s="1" customFormat="1" ht="20" customHeight="1" spans="1:11">
      <c r="A139" s="12">
        <v>5</v>
      </c>
      <c r="B139" s="12" t="s">
        <v>46</v>
      </c>
      <c r="C139" s="12">
        <v>628</v>
      </c>
      <c r="D139" s="14">
        <f t="shared" si="24"/>
        <v>37680</v>
      </c>
      <c r="E139" s="15">
        <f t="shared" si="25"/>
        <v>0</v>
      </c>
      <c r="F139" s="15">
        <f t="shared" si="26"/>
        <v>94200</v>
      </c>
      <c r="G139" s="15">
        <f t="shared" si="27"/>
        <v>28260</v>
      </c>
      <c r="H139" s="15">
        <f t="shared" si="28"/>
        <v>28260</v>
      </c>
      <c r="I139" s="15">
        <f t="shared" si="29"/>
        <v>188400</v>
      </c>
      <c r="J139" s="12">
        <v>5</v>
      </c>
      <c r="K139" s="12"/>
    </row>
    <row r="140" s="1" customFormat="1" ht="20" customHeight="1" spans="1:11">
      <c r="A140" s="12">
        <v>6</v>
      </c>
      <c r="B140" s="12" t="s">
        <v>52</v>
      </c>
      <c r="C140" s="12">
        <v>1101</v>
      </c>
      <c r="D140" s="14">
        <f t="shared" si="24"/>
        <v>66060</v>
      </c>
      <c r="E140" s="15">
        <f t="shared" si="25"/>
        <v>0</v>
      </c>
      <c r="F140" s="15">
        <f t="shared" si="26"/>
        <v>165150</v>
      </c>
      <c r="G140" s="15">
        <f t="shared" si="27"/>
        <v>49545</v>
      </c>
      <c r="H140" s="15">
        <f t="shared" si="28"/>
        <v>49545</v>
      </c>
      <c r="I140" s="15">
        <f t="shared" si="29"/>
        <v>330300</v>
      </c>
      <c r="J140" s="12">
        <v>7</v>
      </c>
      <c r="K140" s="12"/>
    </row>
    <row r="141" s="1" customFormat="1" ht="20" customHeight="1" spans="1:11">
      <c r="A141" s="12">
        <v>7</v>
      </c>
      <c r="B141" s="12" t="s">
        <v>63</v>
      </c>
      <c r="C141" s="12">
        <v>937</v>
      </c>
      <c r="D141" s="14">
        <f t="shared" si="24"/>
        <v>56220</v>
      </c>
      <c r="E141" s="15">
        <f t="shared" si="25"/>
        <v>0</v>
      </c>
      <c r="F141" s="15">
        <f t="shared" si="26"/>
        <v>140550</v>
      </c>
      <c r="G141" s="15">
        <f t="shared" si="27"/>
        <v>42165</v>
      </c>
      <c r="H141" s="15">
        <f t="shared" si="28"/>
        <v>42165</v>
      </c>
      <c r="I141" s="15">
        <f t="shared" si="29"/>
        <v>281100</v>
      </c>
      <c r="J141" s="12">
        <v>6</v>
      </c>
      <c r="K141" s="12"/>
    </row>
    <row r="142" s="1" customFormat="1" ht="20" customHeight="1" spans="1:11">
      <c r="A142" s="12">
        <v>8</v>
      </c>
      <c r="B142" s="12" t="s">
        <v>49</v>
      </c>
      <c r="C142" s="12">
        <v>1017</v>
      </c>
      <c r="D142" s="14">
        <f t="shared" si="24"/>
        <v>61020</v>
      </c>
      <c r="E142" s="15">
        <f t="shared" si="25"/>
        <v>0</v>
      </c>
      <c r="F142" s="15">
        <f t="shared" si="26"/>
        <v>152550</v>
      </c>
      <c r="G142" s="15">
        <f t="shared" si="27"/>
        <v>45765</v>
      </c>
      <c r="H142" s="15">
        <f t="shared" si="28"/>
        <v>45765</v>
      </c>
      <c r="I142" s="15">
        <f t="shared" si="29"/>
        <v>305100</v>
      </c>
      <c r="J142" s="12">
        <v>4</v>
      </c>
      <c r="K142" s="12"/>
    </row>
    <row r="143" s="1" customFormat="1" ht="20" customHeight="1" spans="1:11">
      <c r="A143" s="12">
        <v>9</v>
      </c>
      <c r="B143" s="12" t="s">
        <v>15</v>
      </c>
      <c r="C143" s="12">
        <v>177</v>
      </c>
      <c r="D143" s="14">
        <f t="shared" si="24"/>
        <v>10620</v>
      </c>
      <c r="E143" s="15">
        <f t="shared" si="25"/>
        <v>0</v>
      </c>
      <c r="F143" s="15">
        <f t="shared" si="26"/>
        <v>26550</v>
      </c>
      <c r="G143" s="15">
        <f t="shared" si="27"/>
        <v>7965</v>
      </c>
      <c r="H143" s="15">
        <f t="shared" si="28"/>
        <v>7965</v>
      </c>
      <c r="I143" s="15">
        <f t="shared" si="29"/>
        <v>53100</v>
      </c>
      <c r="J143" s="12">
        <v>2</v>
      </c>
      <c r="K143" s="12"/>
    </row>
    <row r="144" s="1" customFormat="1" ht="20" customHeight="1" spans="1:11">
      <c r="A144" s="12">
        <v>10</v>
      </c>
      <c r="B144" s="12" t="s">
        <v>50</v>
      </c>
      <c r="C144" s="12">
        <v>988.5</v>
      </c>
      <c r="D144" s="14">
        <f t="shared" si="24"/>
        <v>59310</v>
      </c>
      <c r="E144" s="15">
        <f t="shared" si="25"/>
        <v>0</v>
      </c>
      <c r="F144" s="15">
        <f t="shared" si="26"/>
        <v>148275</v>
      </c>
      <c r="G144" s="15">
        <f t="shared" si="27"/>
        <v>44482.5</v>
      </c>
      <c r="H144" s="15">
        <f t="shared" si="28"/>
        <v>44482.5</v>
      </c>
      <c r="I144" s="15">
        <f t="shared" si="29"/>
        <v>296550</v>
      </c>
      <c r="J144" s="12">
        <v>5</v>
      </c>
      <c r="K144" s="12"/>
    </row>
    <row r="145" s="1" customFormat="1" ht="20" customHeight="1" spans="1:11">
      <c r="A145" s="13" t="s">
        <v>14</v>
      </c>
      <c r="B145" s="16" t="s">
        <v>16</v>
      </c>
      <c r="C145" s="17">
        <f t="shared" ref="C145:J145" si="30">SUM(C135:C144)</f>
        <v>9148.5</v>
      </c>
      <c r="D145" s="18">
        <f t="shared" si="30"/>
        <v>548910</v>
      </c>
      <c r="E145" s="18">
        <f t="shared" si="30"/>
        <v>0</v>
      </c>
      <c r="F145" s="18">
        <f t="shared" si="30"/>
        <v>1372275</v>
      </c>
      <c r="G145" s="18">
        <f t="shared" si="30"/>
        <v>411682.5</v>
      </c>
      <c r="H145" s="18">
        <f t="shared" si="30"/>
        <v>411682.5</v>
      </c>
      <c r="I145" s="18">
        <f t="shared" si="30"/>
        <v>2744550</v>
      </c>
      <c r="J145" s="17">
        <f t="shared" si="30"/>
        <v>54</v>
      </c>
      <c r="K145" s="61"/>
    </row>
    <row r="150" s="5" customFormat="1" ht="27" spans="1:11">
      <c r="A150" s="7" t="s">
        <v>89</v>
      </c>
      <c r="B150" s="26"/>
      <c r="C150" s="7"/>
      <c r="D150" s="7"/>
      <c r="E150" s="7"/>
      <c r="F150" s="7"/>
      <c r="G150" s="7"/>
      <c r="H150" s="7"/>
      <c r="I150" s="7"/>
      <c r="J150" s="7"/>
      <c r="K150" s="7"/>
    </row>
    <row r="151" s="1" customFormat="1" ht="20" customHeight="1" spans="1:11">
      <c r="A151" s="6" t="s">
        <v>37</v>
      </c>
      <c r="B151" s="6"/>
      <c r="C151" s="6"/>
      <c r="D151" s="6"/>
      <c r="E151" s="6"/>
      <c r="F151" s="6"/>
      <c r="G151" s="6"/>
      <c r="H151" s="6"/>
      <c r="J151" s="40" t="s">
        <v>38</v>
      </c>
      <c r="K151" s="40"/>
    </row>
    <row r="152" s="1" customFormat="1" ht="20" customHeight="1" spans="1:11">
      <c r="A152" s="20" t="s">
        <v>3</v>
      </c>
      <c r="B152" s="22" t="s">
        <v>69</v>
      </c>
      <c r="C152" s="20" t="s">
        <v>40</v>
      </c>
      <c r="D152" s="20" t="s">
        <v>90</v>
      </c>
      <c r="E152" s="20"/>
      <c r="F152" s="20"/>
      <c r="G152" s="20"/>
      <c r="H152" s="20"/>
      <c r="I152" s="20"/>
      <c r="J152" s="20" t="s">
        <v>7</v>
      </c>
      <c r="K152" s="20" t="s">
        <v>8</v>
      </c>
    </row>
    <row r="153" s="1" customFormat="1" ht="28.5" spans="1:11">
      <c r="A153" s="20"/>
      <c r="B153" s="27"/>
      <c r="C153" s="20"/>
      <c r="D153" s="20" t="s">
        <v>91</v>
      </c>
      <c r="E153" s="20" t="s">
        <v>78</v>
      </c>
      <c r="F153" s="20" t="s">
        <v>92</v>
      </c>
      <c r="G153" s="20" t="s">
        <v>93</v>
      </c>
      <c r="H153" s="20" t="s">
        <v>94</v>
      </c>
      <c r="I153" s="20" t="s">
        <v>14</v>
      </c>
      <c r="J153" s="20"/>
      <c r="K153" s="20"/>
    </row>
    <row r="154" s="1" customFormat="1" ht="20" customHeight="1" spans="1:11">
      <c r="A154" s="22">
        <v>1</v>
      </c>
      <c r="B154" s="54" t="s">
        <v>49</v>
      </c>
      <c r="C154" s="51">
        <v>50</v>
      </c>
      <c r="D154" s="24">
        <f>C154*30*2</f>
        <v>3000</v>
      </c>
      <c r="E154" s="24">
        <v>0</v>
      </c>
      <c r="F154" s="24">
        <f>C154*75*2</f>
        <v>7500</v>
      </c>
      <c r="G154" s="24">
        <f>C154*22.5*2</f>
        <v>2250</v>
      </c>
      <c r="H154" s="24">
        <f>C154*22.5*2</f>
        <v>2250</v>
      </c>
      <c r="I154" s="28">
        <f>SUM(D154:H154)</f>
        <v>15000</v>
      </c>
      <c r="J154" s="46">
        <v>1</v>
      </c>
      <c r="K154" s="62" t="s">
        <v>95</v>
      </c>
    </row>
    <row r="155" s="1" customFormat="1" ht="20" customHeight="1" spans="1:11">
      <c r="A155" s="23" t="s">
        <v>14</v>
      </c>
      <c r="B155" s="22" t="s">
        <v>16</v>
      </c>
      <c r="C155" s="28">
        <f t="shared" ref="C155:J155" si="31">C154</f>
        <v>50</v>
      </c>
      <c r="D155" s="24">
        <f t="shared" si="31"/>
        <v>3000</v>
      </c>
      <c r="E155" s="24">
        <f t="shared" si="31"/>
        <v>0</v>
      </c>
      <c r="F155" s="24">
        <f t="shared" si="31"/>
        <v>7500</v>
      </c>
      <c r="G155" s="24">
        <f t="shared" si="31"/>
        <v>2250</v>
      </c>
      <c r="H155" s="24">
        <f t="shared" si="31"/>
        <v>2250</v>
      </c>
      <c r="I155" s="28">
        <f t="shared" si="31"/>
        <v>15000</v>
      </c>
      <c r="J155" s="46">
        <f t="shared" si="31"/>
        <v>1</v>
      </c>
      <c r="K155" s="62"/>
    </row>
    <row r="160" s="5" customFormat="1" ht="27" spans="1:11">
      <c r="A160" s="7" t="s">
        <v>96</v>
      </c>
      <c r="B160" s="26"/>
      <c r="C160" s="7"/>
      <c r="D160" s="7"/>
      <c r="E160" s="7"/>
      <c r="F160" s="7"/>
      <c r="G160" s="7"/>
      <c r="H160" s="7"/>
      <c r="I160" s="7"/>
      <c r="J160" s="7"/>
      <c r="K160" s="7"/>
    </row>
    <row r="161" s="1" customFormat="1" ht="20" customHeight="1" spans="1:11">
      <c r="A161" s="6" t="s">
        <v>37</v>
      </c>
      <c r="B161" s="6"/>
      <c r="C161" s="6"/>
      <c r="D161" s="6"/>
      <c r="E161" s="6"/>
      <c r="F161" s="6"/>
      <c r="G161" s="6"/>
      <c r="H161" s="6"/>
      <c r="J161" s="40" t="s">
        <v>38</v>
      </c>
      <c r="K161" s="40"/>
    </row>
    <row r="162" s="1" customFormat="1" ht="20" customHeight="1" spans="1:11">
      <c r="A162" s="20" t="s">
        <v>3</v>
      </c>
      <c r="B162" s="22" t="s">
        <v>69</v>
      </c>
      <c r="C162" s="20" t="s">
        <v>40</v>
      </c>
      <c r="D162" s="20" t="s">
        <v>97</v>
      </c>
      <c r="E162" s="20"/>
      <c r="F162" s="20"/>
      <c r="G162" s="20"/>
      <c r="H162" s="20"/>
      <c r="I162" s="20"/>
      <c r="J162" s="20" t="s">
        <v>7</v>
      </c>
      <c r="K162" s="20" t="s">
        <v>8</v>
      </c>
    </row>
    <row r="163" s="1" customFormat="1" ht="28.5" spans="1:11">
      <c r="A163" s="20"/>
      <c r="B163" s="27"/>
      <c r="C163" s="20"/>
      <c r="D163" s="20" t="s">
        <v>98</v>
      </c>
      <c r="E163" s="20" t="s">
        <v>78</v>
      </c>
      <c r="F163" s="20" t="s">
        <v>99</v>
      </c>
      <c r="G163" s="20" t="s">
        <v>100</v>
      </c>
      <c r="H163" s="20" t="s">
        <v>101</v>
      </c>
      <c r="I163" s="20" t="s">
        <v>14</v>
      </c>
      <c r="J163" s="20"/>
      <c r="K163" s="20"/>
    </row>
    <row r="164" s="1" customFormat="1" ht="20" customHeight="1" spans="1:11">
      <c r="A164" s="22">
        <v>1</v>
      </c>
      <c r="B164" s="54" t="s">
        <v>15</v>
      </c>
      <c r="C164" s="51">
        <v>110</v>
      </c>
      <c r="D164" s="24">
        <f>C164*18*5</f>
        <v>9900</v>
      </c>
      <c r="E164" s="24">
        <v>0</v>
      </c>
      <c r="F164" s="24">
        <f>C164*45*5</f>
        <v>24750</v>
      </c>
      <c r="G164" s="24">
        <f>C164*13.5*5</f>
        <v>7425</v>
      </c>
      <c r="H164" s="24">
        <f>C164*13.5*5</f>
        <v>7425</v>
      </c>
      <c r="I164" s="28">
        <f>SUM(D164:H164)</f>
        <v>49500</v>
      </c>
      <c r="J164" s="46">
        <v>1</v>
      </c>
      <c r="K164" s="63" t="s">
        <v>102</v>
      </c>
    </row>
    <row r="165" s="1" customFormat="1" ht="20" customHeight="1" spans="1:11">
      <c r="A165" s="22">
        <v>2</v>
      </c>
      <c r="B165" s="54" t="s">
        <v>54</v>
      </c>
      <c r="C165" s="51">
        <v>50</v>
      </c>
      <c r="D165" s="24">
        <v>5400</v>
      </c>
      <c r="E165" s="24">
        <v>0</v>
      </c>
      <c r="F165" s="24">
        <v>13500</v>
      </c>
      <c r="G165" s="24">
        <v>4050</v>
      </c>
      <c r="H165" s="24">
        <v>4050</v>
      </c>
      <c r="I165" s="28">
        <v>27000</v>
      </c>
      <c r="J165" s="46">
        <v>1</v>
      </c>
      <c r="K165" s="62" t="s">
        <v>103</v>
      </c>
    </row>
    <row r="166" s="1" customFormat="1" ht="20" customHeight="1" spans="1:11">
      <c r="A166" s="23" t="s">
        <v>14</v>
      </c>
      <c r="B166" s="22" t="s">
        <v>16</v>
      </c>
      <c r="C166" s="28">
        <f>SUM(C164:C165)</f>
        <v>160</v>
      </c>
      <c r="D166" s="28">
        <f t="shared" ref="D166:J166" si="32">SUM(D164:D165)</f>
        <v>15300</v>
      </c>
      <c r="E166" s="28">
        <f t="shared" si="32"/>
        <v>0</v>
      </c>
      <c r="F166" s="28">
        <f t="shared" si="32"/>
        <v>38250</v>
      </c>
      <c r="G166" s="28">
        <f t="shared" si="32"/>
        <v>11475</v>
      </c>
      <c r="H166" s="28">
        <f t="shared" si="32"/>
        <v>11475</v>
      </c>
      <c r="I166" s="28">
        <f t="shared" si="32"/>
        <v>76500</v>
      </c>
      <c r="J166" s="46">
        <v>2</v>
      </c>
      <c r="K166" s="64"/>
    </row>
    <row r="171" s="5" customFormat="1" ht="27" spans="1:11">
      <c r="A171" s="7" t="s">
        <v>104</v>
      </c>
      <c r="B171" s="26"/>
      <c r="C171" s="7"/>
      <c r="D171" s="7"/>
      <c r="E171" s="7"/>
      <c r="F171" s="7"/>
      <c r="G171" s="7"/>
      <c r="H171" s="7"/>
      <c r="I171" s="7"/>
      <c r="J171" s="7"/>
      <c r="K171" s="7"/>
    </row>
    <row r="172" s="1" customFormat="1" ht="20" customHeight="1" spans="1:11">
      <c r="A172" s="6" t="s">
        <v>37</v>
      </c>
      <c r="B172" s="6"/>
      <c r="C172" s="6"/>
      <c r="D172" s="6"/>
      <c r="E172" s="6"/>
      <c r="F172" s="6"/>
      <c r="G172" s="6"/>
      <c r="H172" s="6"/>
      <c r="J172" s="40" t="s">
        <v>38</v>
      </c>
      <c r="K172" s="40"/>
    </row>
    <row r="173" s="1" customFormat="1" ht="20" customHeight="1" spans="1:11">
      <c r="A173" s="20" t="s">
        <v>3</v>
      </c>
      <c r="B173" s="22" t="s">
        <v>69</v>
      </c>
      <c r="C173" s="20" t="s">
        <v>40</v>
      </c>
      <c r="D173" s="20" t="s">
        <v>105</v>
      </c>
      <c r="E173" s="20"/>
      <c r="F173" s="20"/>
      <c r="G173" s="20"/>
      <c r="H173" s="20"/>
      <c r="I173" s="20"/>
      <c r="J173" s="20" t="s">
        <v>7</v>
      </c>
      <c r="K173" s="20" t="s">
        <v>8</v>
      </c>
    </row>
    <row r="174" s="1" customFormat="1" ht="28.5" spans="1:11">
      <c r="A174" s="20"/>
      <c r="B174" s="27"/>
      <c r="C174" s="20"/>
      <c r="D174" s="20" t="s">
        <v>106</v>
      </c>
      <c r="E174" s="20" t="s">
        <v>78</v>
      </c>
      <c r="F174" s="20" t="s">
        <v>107</v>
      </c>
      <c r="G174" s="20" t="s">
        <v>108</v>
      </c>
      <c r="H174" s="20" t="s">
        <v>109</v>
      </c>
      <c r="I174" s="20" t="s">
        <v>14</v>
      </c>
      <c r="J174" s="20"/>
      <c r="K174" s="20"/>
    </row>
    <row r="175" s="1" customFormat="1" ht="24" customHeight="1" spans="1:11">
      <c r="A175" s="22">
        <v>1</v>
      </c>
      <c r="B175" s="54" t="s">
        <v>49</v>
      </c>
      <c r="C175" s="51">
        <v>210</v>
      </c>
      <c r="D175" s="24">
        <f>C175*40*2</f>
        <v>16800</v>
      </c>
      <c r="E175" s="24">
        <v>0</v>
      </c>
      <c r="F175" s="24">
        <f>C175*100*2</f>
        <v>42000</v>
      </c>
      <c r="G175" s="24">
        <f>C175*30*2</f>
        <v>12600</v>
      </c>
      <c r="H175" s="24">
        <f>C175*30*2</f>
        <v>12600</v>
      </c>
      <c r="I175" s="28">
        <f>SUM(D175:H175)</f>
        <v>84000</v>
      </c>
      <c r="J175" s="46">
        <v>1</v>
      </c>
      <c r="K175" s="62" t="s">
        <v>95</v>
      </c>
    </row>
    <row r="176" s="1" customFormat="1" ht="24" customHeight="1" spans="1:11">
      <c r="A176" s="22">
        <v>2</v>
      </c>
      <c r="B176" s="54" t="s">
        <v>49</v>
      </c>
      <c r="C176" s="51">
        <v>110</v>
      </c>
      <c r="D176" s="24">
        <f>C176*40</f>
        <v>4400</v>
      </c>
      <c r="E176" s="24">
        <v>0</v>
      </c>
      <c r="F176" s="24">
        <f>C176*100</f>
        <v>11000</v>
      </c>
      <c r="G176" s="24">
        <f>C176*30</f>
        <v>3300</v>
      </c>
      <c r="H176" s="24">
        <f>C176*30</f>
        <v>3300</v>
      </c>
      <c r="I176" s="28">
        <f>SUM(D176:H176)</f>
        <v>22000</v>
      </c>
      <c r="J176" s="46">
        <v>1</v>
      </c>
      <c r="K176" s="62" t="s">
        <v>110</v>
      </c>
    </row>
    <row r="177" s="1" customFormat="1" ht="24" customHeight="1" spans="1:11">
      <c r="A177" s="22">
        <v>3</v>
      </c>
      <c r="B177" s="54" t="s">
        <v>52</v>
      </c>
      <c r="C177" s="51">
        <v>121</v>
      </c>
      <c r="D177" s="24">
        <f>C177*40</f>
        <v>4840</v>
      </c>
      <c r="E177" s="24">
        <v>0</v>
      </c>
      <c r="F177" s="24">
        <f>C177*100</f>
        <v>12100</v>
      </c>
      <c r="G177" s="24">
        <f>C177*30</f>
        <v>3630</v>
      </c>
      <c r="H177" s="24">
        <f>C177*30</f>
        <v>3630</v>
      </c>
      <c r="I177" s="28">
        <f>SUM(D177:H177)</f>
        <v>24200</v>
      </c>
      <c r="J177" s="46">
        <v>1</v>
      </c>
      <c r="K177" s="62" t="s">
        <v>110</v>
      </c>
    </row>
    <row r="178" s="1" customFormat="1" ht="20" customHeight="1" spans="1:11">
      <c r="A178" s="23" t="s">
        <v>14</v>
      </c>
      <c r="B178" s="22" t="s">
        <v>16</v>
      </c>
      <c r="C178" s="28">
        <f>SUM(C175:C177)</f>
        <v>441</v>
      </c>
      <c r="D178" s="28">
        <f t="shared" ref="D178:J178" si="33">SUM(D175:D177)</f>
        <v>26040</v>
      </c>
      <c r="E178" s="28">
        <f t="shared" si="33"/>
        <v>0</v>
      </c>
      <c r="F178" s="28">
        <f t="shared" si="33"/>
        <v>65100</v>
      </c>
      <c r="G178" s="28">
        <f t="shared" si="33"/>
        <v>19530</v>
      </c>
      <c r="H178" s="28">
        <f t="shared" si="33"/>
        <v>19530</v>
      </c>
      <c r="I178" s="28">
        <f t="shared" si="33"/>
        <v>130200</v>
      </c>
      <c r="J178" s="46">
        <f t="shared" si="33"/>
        <v>3</v>
      </c>
      <c r="K178" s="47"/>
    </row>
    <row r="183" s="1" customFormat="1" ht="25.5" spans="1:11">
      <c r="A183" s="60" t="s">
        <v>111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</row>
    <row r="184" s="1" customFormat="1" ht="20" customHeight="1" spans="1:11">
      <c r="A184" s="6" t="s">
        <v>37</v>
      </c>
      <c r="B184" s="6"/>
      <c r="C184" s="6"/>
      <c r="D184" s="6"/>
      <c r="J184" s="40" t="s">
        <v>19</v>
      </c>
      <c r="K184" s="40"/>
    </row>
    <row r="185" s="1" customFormat="1" ht="20" customHeight="1" spans="1:11">
      <c r="A185" s="20" t="s">
        <v>3</v>
      </c>
      <c r="B185" s="20" t="s">
        <v>20</v>
      </c>
      <c r="C185" s="20" t="s">
        <v>21</v>
      </c>
      <c r="D185" s="21" t="s">
        <v>112</v>
      </c>
      <c r="E185" s="21"/>
      <c r="F185" s="21"/>
      <c r="G185" s="21"/>
      <c r="H185" s="21"/>
      <c r="I185" s="21"/>
      <c r="J185" s="20" t="s">
        <v>7</v>
      </c>
      <c r="K185" s="20" t="s">
        <v>8</v>
      </c>
    </row>
    <row r="186" s="1" customFormat="1" ht="28.5" spans="1:11">
      <c r="A186" s="20"/>
      <c r="B186" s="20"/>
      <c r="C186" s="20"/>
      <c r="D186" s="21" t="s">
        <v>113</v>
      </c>
      <c r="E186" s="21" t="s">
        <v>114</v>
      </c>
      <c r="F186" s="21" t="s">
        <v>115</v>
      </c>
      <c r="G186" s="21" t="s">
        <v>116</v>
      </c>
      <c r="H186" s="21" t="s">
        <v>117</v>
      </c>
      <c r="I186" s="21" t="s">
        <v>14</v>
      </c>
      <c r="J186" s="20"/>
      <c r="K186" s="20"/>
    </row>
    <row r="187" s="1" customFormat="1" ht="20" customHeight="1" spans="1:11">
      <c r="A187" s="22">
        <v>1</v>
      </c>
      <c r="B187" s="23" t="s">
        <v>48</v>
      </c>
      <c r="C187" s="23">
        <v>608</v>
      </c>
      <c r="D187" s="24">
        <f>+C187*10.5000003</f>
        <v>6384.0001824</v>
      </c>
      <c r="E187" s="24">
        <f>+C187*36</f>
        <v>21888</v>
      </c>
      <c r="F187" s="24">
        <f>+C187*31.5</f>
        <v>19152</v>
      </c>
      <c r="G187" s="24">
        <f>+C187*7.2</f>
        <v>4377.6</v>
      </c>
      <c r="H187" s="24">
        <f>+C187*4.7999997</f>
        <v>2918.3998176</v>
      </c>
      <c r="I187" s="24">
        <f>SUM(D187:H187)</f>
        <v>54720</v>
      </c>
      <c r="J187" s="22">
        <v>2</v>
      </c>
      <c r="K187" s="41"/>
    </row>
    <row r="188" s="1" customFormat="1" ht="20" customHeight="1" spans="1:11">
      <c r="A188" s="22">
        <v>2</v>
      </c>
      <c r="B188" s="23" t="s">
        <v>52</v>
      </c>
      <c r="C188" s="23">
        <v>11000</v>
      </c>
      <c r="D188" s="24">
        <f>+C188*10.5000003</f>
        <v>115500.0033</v>
      </c>
      <c r="E188" s="24">
        <f>+C188*36</f>
        <v>396000</v>
      </c>
      <c r="F188" s="24">
        <f>+C188*31.5</f>
        <v>346500</v>
      </c>
      <c r="G188" s="24">
        <f>+C188*7.2</f>
        <v>79200</v>
      </c>
      <c r="H188" s="24">
        <f>+C188*4.7999997</f>
        <v>52799.9967</v>
      </c>
      <c r="I188" s="24">
        <f>SUM(D188:H188)</f>
        <v>990000</v>
      </c>
      <c r="J188" s="22">
        <v>1</v>
      </c>
      <c r="K188" s="42"/>
    </row>
    <row r="189" s="1" customFormat="1" ht="20" customHeight="1" spans="1:11">
      <c r="A189" s="22">
        <v>3</v>
      </c>
      <c r="B189" s="23" t="s">
        <v>28</v>
      </c>
      <c r="C189" s="23">
        <v>2005</v>
      </c>
      <c r="D189" s="24">
        <f>+C189*10.5000003</f>
        <v>21052.5006015</v>
      </c>
      <c r="E189" s="24">
        <f>+C189*36</f>
        <v>72180</v>
      </c>
      <c r="F189" s="24">
        <f>+C189*31.5</f>
        <v>63157.5</v>
      </c>
      <c r="G189" s="24">
        <f>+C189*7.2</f>
        <v>14436</v>
      </c>
      <c r="H189" s="24">
        <f>+C189*4.7999997</f>
        <v>9623.9993985</v>
      </c>
      <c r="I189" s="24">
        <f>SUM(D189:H189)</f>
        <v>180450</v>
      </c>
      <c r="J189" s="22">
        <v>1</v>
      </c>
      <c r="K189" s="42"/>
    </row>
    <row r="190" s="1" customFormat="1" ht="20" customHeight="1" spans="1:11">
      <c r="A190" s="22">
        <v>4</v>
      </c>
      <c r="B190" s="23" t="s">
        <v>46</v>
      </c>
      <c r="C190" s="23">
        <v>708</v>
      </c>
      <c r="D190" s="24">
        <f>+C190*10.5000003</f>
        <v>7434.0002124</v>
      </c>
      <c r="E190" s="24">
        <f>+C190*36</f>
        <v>25488</v>
      </c>
      <c r="F190" s="24">
        <f>+C190*31.5</f>
        <v>22302</v>
      </c>
      <c r="G190" s="24">
        <f>+C190*7.2</f>
        <v>5097.6</v>
      </c>
      <c r="H190" s="24">
        <f>+C190*4.7999997</f>
        <v>3398.3997876</v>
      </c>
      <c r="I190" s="24">
        <f>SUM(D190:H190)</f>
        <v>63720</v>
      </c>
      <c r="J190" s="22">
        <v>1</v>
      </c>
      <c r="K190" s="42"/>
    </row>
    <row r="191" s="1" customFormat="1" ht="20" customHeight="1" spans="1:11">
      <c r="A191" s="22">
        <v>5</v>
      </c>
      <c r="B191" s="23" t="s">
        <v>63</v>
      </c>
      <c r="C191" s="23">
        <v>1305</v>
      </c>
      <c r="D191" s="24">
        <f>+C191*10.5000003</f>
        <v>13702.5003915</v>
      </c>
      <c r="E191" s="24">
        <f>+C191*36</f>
        <v>46980</v>
      </c>
      <c r="F191" s="24">
        <f>+C191*31.5</f>
        <v>41107.5</v>
      </c>
      <c r="G191" s="24">
        <f>+C191*7.2</f>
        <v>9396</v>
      </c>
      <c r="H191" s="24">
        <f>+C191*4.7999997</f>
        <v>6263.9996085</v>
      </c>
      <c r="I191" s="24">
        <f>SUM(D191:H191)</f>
        <v>117450</v>
      </c>
      <c r="J191" s="22">
        <v>1</v>
      </c>
      <c r="K191" s="42"/>
    </row>
    <row r="192" s="1" customFormat="1" ht="20" customHeight="1" spans="1:11">
      <c r="A192" s="17" t="s">
        <v>14</v>
      </c>
      <c r="B192" s="17" t="s">
        <v>16</v>
      </c>
      <c r="C192" s="17">
        <f t="shared" ref="C192:J192" si="34">SUM(C187:C191)</f>
        <v>15626</v>
      </c>
      <c r="D192" s="24">
        <f t="shared" si="34"/>
        <v>164073.0046878</v>
      </c>
      <c r="E192" s="24">
        <f t="shared" si="34"/>
        <v>562536</v>
      </c>
      <c r="F192" s="24">
        <f t="shared" si="34"/>
        <v>492219</v>
      </c>
      <c r="G192" s="24">
        <f t="shared" si="34"/>
        <v>112507.2</v>
      </c>
      <c r="H192" s="24">
        <f t="shared" si="34"/>
        <v>75004.7953122</v>
      </c>
      <c r="I192" s="24">
        <f t="shared" si="34"/>
        <v>1406340</v>
      </c>
      <c r="J192" s="17">
        <f t="shared" si="34"/>
        <v>6</v>
      </c>
      <c r="K192" s="42"/>
    </row>
    <row r="197" s="1" customFormat="1" ht="27" spans="1:11">
      <c r="A197" s="7" t="s">
        <v>118</v>
      </c>
      <c r="B197" s="7"/>
      <c r="C197" s="7"/>
      <c r="D197" s="7"/>
      <c r="E197" s="7"/>
      <c r="F197" s="7"/>
      <c r="G197" s="7"/>
      <c r="H197" s="7"/>
      <c r="I197" s="7"/>
      <c r="J197" s="7"/>
      <c r="K197" s="35"/>
    </row>
    <row r="198" s="1" customFormat="1" ht="26" customHeight="1" spans="1:11">
      <c r="A198" s="6" t="s">
        <v>37</v>
      </c>
      <c r="B198" s="6"/>
      <c r="C198" s="6"/>
      <c r="D198" s="8"/>
      <c r="E198" s="8"/>
      <c r="F198" s="8"/>
      <c r="G198" s="8"/>
      <c r="H198" s="8"/>
      <c r="I198" s="8"/>
      <c r="J198" s="66" t="s">
        <v>2</v>
      </c>
      <c r="K198" s="66"/>
    </row>
    <row r="199" s="1" customFormat="1" ht="20" customHeight="1" spans="1:11">
      <c r="A199" s="9" t="s">
        <v>3</v>
      </c>
      <c r="B199" s="9" t="s">
        <v>4</v>
      </c>
      <c r="C199" s="9" t="s">
        <v>5</v>
      </c>
      <c r="D199" s="10" t="s">
        <v>6</v>
      </c>
      <c r="E199" s="11"/>
      <c r="F199" s="11"/>
      <c r="G199" s="11"/>
      <c r="H199" s="11"/>
      <c r="I199" s="37"/>
      <c r="J199" s="9" t="s">
        <v>7</v>
      </c>
      <c r="K199" s="9" t="s">
        <v>8</v>
      </c>
    </row>
    <row r="200" s="1" customFormat="1" ht="27" customHeight="1" spans="1:11">
      <c r="A200" s="12"/>
      <c r="B200" s="12"/>
      <c r="C200" s="12"/>
      <c r="D200" s="13" t="s">
        <v>9</v>
      </c>
      <c r="E200" s="13" t="s">
        <v>10</v>
      </c>
      <c r="F200" s="13" t="s">
        <v>11</v>
      </c>
      <c r="G200" s="13" t="s">
        <v>12</v>
      </c>
      <c r="H200" s="13" t="s">
        <v>13</v>
      </c>
      <c r="I200" s="13" t="s">
        <v>14</v>
      </c>
      <c r="J200" s="12"/>
      <c r="K200" s="12"/>
    </row>
    <row r="201" s="1" customFormat="1" ht="18" customHeight="1" spans="1:11">
      <c r="A201" s="12">
        <v>1</v>
      </c>
      <c r="B201" s="12" t="s">
        <v>49</v>
      </c>
      <c r="C201" s="13">
        <v>476000</v>
      </c>
      <c r="D201" s="14">
        <f t="shared" ref="D201:D206" si="35">C201*0.18</f>
        <v>85680</v>
      </c>
      <c r="E201" s="15">
        <v>0</v>
      </c>
      <c r="F201" s="15">
        <f t="shared" ref="F201:F206" si="36">C201*0.3</f>
        <v>142800</v>
      </c>
      <c r="G201" s="15">
        <f t="shared" ref="G201:G206" si="37">C201*0.06</f>
        <v>28560</v>
      </c>
      <c r="H201" s="15">
        <f t="shared" ref="H201:H206" si="38">C201*0.06</f>
        <v>28560</v>
      </c>
      <c r="I201" s="15">
        <f t="shared" ref="I201:I206" si="39">C201*0.6</f>
        <v>285600</v>
      </c>
      <c r="J201" s="12">
        <v>2</v>
      </c>
      <c r="K201" s="67"/>
    </row>
    <row r="202" s="1" customFormat="1" ht="18" customHeight="1" spans="1:11">
      <c r="A202" s="12">
        <v>2</v>
      </c>
      <c r="B202" s="12" t="s">
        <v>15</v>
      </c>
      <c r="C202" s="12">
        <v>292000</v>
      </c>
      <c r="D202" s="14">
        <f t="shared" si="35"/>
        <v>52560</v>
      </c>
      <c r="E202" s="15">
        <v>0</v>
      </c>
      <c r="F202" s="15">
        <f t="shared" si="36"/>
        <v>87600</v>
      </c>
      <c r="G202" s="15">
        <f t="shared" si="37"/>
        <v>17520</v>
      </c>
      <c r="H202" s="15">
        <f t="shared" si="38"/>
        <v>17520</v>
      </c>
      <c r="I202" s="15">
        <f t="shared" si="39"/>
        <v>175200</v>
      </c>
      <c r="J202" s="12">
        <v>2</v>
      </c>
      <c r="K202" s="13"/>
    </row>
    <row r="203" s="1" customFormat="1" ht="18" customHeight="1" spans="1:11">
      <c r="A203" s="12">
        <v>3</v>
      </c>
      <c r="B203" s="12" t="s">
        <v>28</v>
      </c>
      <c r="C203" s="12">
        <v>114000</v>
      </c>
      <c r="D203" s="14">
        <f t="shared" si="35"/>
        <v>20520</v>
      </c>
      <c r="E203" s="15">
        <v>0</v>
      </c>
      <c r="F203" s="15">
        <f t="shared" si="36"/>
        <v>34200</v>
      </c>
      <c r="G203" s="15">
        <f t="shared" si="37"/>
        <v>6840</v>
      </c>
      <c r="H203" s="15">
        <f t="shared" si="38"/>
        <v>6840</v>
      </c>
      <c r="I203" s="15">
        <f t="shared" si="39"/>
        <v>68400</v>
      </c>
      <c r="J203" s="12">
        <v>2</v>
      </c>
      <c r="K203" s="13"/>
    </row>
    <row r="204" s="1" customFormat="1" ht="18" customHeight="1" spans="1:11">
      <c r="A204" s="12">
        <v>4</v>
      </c>
      <c r="B204" s="12" t="s">
        <v>52</v>
      </c>
      <c r="C204" s="12">
        <v>118000</v>
      </c>
      <c r="D204" s="14">
        <f t="shared" si="35"/>
        <v>21240</v>
      </c>
      <c r="E204" s="15">
        <v>0</v>
      </c>
      <c r="F204" s="15">
        <f t="shared" si="36"/>
        <v>35400</v>
      </c>
      <c r="G204" s="15">
        <f t="shared" si="37"/>
        <v>7080</v>
      </c>
      <c r="H204" s="15">
        <f t="shared" si="38"/>
        <v>7080</v>
      </c>
      <c r="I204" s="15">
        <f t="shared" si="39"/>
        <v>70800</v>
      </c>
      <c r="J204" s="12">
        <v>2</v>
      </c>
      <c r="K204" s="13"/>
    </row>
    <row r="205" s="1" customFormat="1" ht="18" customHeight="1" spans="1:11">
      <c r="A205" s="12">
        <v>5</v>
      </c>
      <c r="B205" s="12" t="s">
        <v>48</v>
      </c>
      <c r="C205" s="13">
        <v>300000</v>
      </c>
      <c r="D205" s="14">
        <f t="shared" si="35"/>
        <v>54000</v>
      </c>
      <c r="E205" s="15">
        <v>0</v>
      </c>
      <c r="F205" s="15">
        <f t="shared" si="36"/>
        <v>90000</v>
      </c>
      <c r="G205" s="15">
        <f t="shared" si="37"/>
        <v>18000</v>
      </c>
      <c r="H205" s="15">
        <f t="shared" si="38"/>
        <v>18000</v>
      </c>
      <c r="I205" s="15">
        <f t="shared" si="39"/>
        <v>180000</v>
      </c>
      <c r="J205" s="12">
        <v>2</v>
      </c>
      <c r="K205" s="67"/>
    </row>
    <row r="206" s="1" customFormat="1" ht="18" customHeight="1" spans="1:11">
      <c r="A206" s="12">
        <v>6</v>
      </c>
      <c r="B206" s="12" t="s">
        <v>46</v>
      </c>
      <c r="C206" s="12">
        <v>60000</v>
      </c>
      <c r="D206" s="14">
        <f t="shared" si="35"/>
        <v>10800</v>
      </c>
      <c r="E206" s="15">
        <v>0</v>
      </c>
      <c r="F206" s="15">
        <f t="shared" si="36"/>
        <v>18000</v>
      </c>
      <c r="G206" s="15">
        <f t="shared" si="37"/>
        <v>3600</v>
      </c>
      <c r="H206" s="15">
        <f t="shared" si="38"/>
        <v>3600</v>
      </c>
      <c r="I206" s="15">
        <f t="shared" si="39"/>
        <v>36000</v>
      </c>
      <c r="J206" s="12">
        <v>1</v>
      </c>
      <c r="K206" s="13"/>
    </row>
    <row r="207" s="1" customFormat="1" ht="20" customHeight="1" spans="1:11">
      <c r="A207" s="13" t="s">
        <v>14</v>
      </c>
      <c r="B207" s="16" t="s">
        <v>16</v>
      </c>
      <c r="C207" s="17">
        <f t="shared" ref="C207:J207" si="40">SUM(C201:C206)</f>
        <v>1360000</v>
      </c>
      <c r="D207" s="18">
        <f t="shared" si="40"/>
        <v>244800</v>
      </c>
      <c r="E207" s="18">
        <f t="shared" si="40"/>
        <v>0</v>
      </c>
      <c r="F207" s="18">
        <f t="shared" si="40"/>
        <v>408000</v>
      </c>
      <c r="G207" s="18">
        <f t="shared" si="40"/>
        <v>81600</v>
      </c>
      <c r="H207" s="18">
        <f t="shared" si="40"/>
        <v>81600</v>
      </c>
      <c r="I207" s="18">
        <f t="shared" si="40"/>
        <v>816000</v>
      </c>
      <c r="J207" s="17">
        <f t="shared" si="40"/>
        <v>11</v>
      </c>
      <c r="K207" s="67"/>
    </row>
    <row r="212" s="1" customFormat="1" ht="25.5" spans="1:11">
      <c r="A212" s="19" t="s">
        <v>119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</row>
    <row r="213" s="1" customFormat="1" ht="20" customHeight="1" spans="1:11">
      <c r="A213" s="6" t="s">
        <v>37</v>
      </c>
      <c r="B213" s="6"/>
      <c r="C213" s="6"/>
      <c r="D213" s="6"/>
      <c r="J213" s="40" t="s">
        <v>19</v>
      </c>
      <c r="K213" s="40"/>
    </row>
    <row r="214" s="1" customFormat="1" ht="20" customHeight="1" spans="1:11">
      <c r="A214" s="20" t="s">
        <v>3</v>
      </c>
      <c r="B214" s="20" t="s">
        <v>20</v>
      </c>
      <c r="C214" s="20" t="s">
        <v>21</v>
      </c>
      <c r="D214" s="21" t="s">
        <v>120</v>
      </c>
      <c r="E214" s="21"/>
      <c r="F214" s="21"/>
      <c r="G214" s="21"/>
      <c r="H214" s="21"/>
      <c r="I214" s="21"/>
      <c r="J214" s="20" t="s">
        <v>7</v>
      </c>
      <c r="K214" s="20" t="s">
        <v>8</v>
      </c>
    </row>
    <row r="215" s="1" customFormat="1" ht="28.5" spans="1:11">
      <c r="A215" s="20"/>
      <c r="B215" s="20"/>
      <c r="C215" s="20"/>
      <c r="D215" s="21" t="s">
        <v>121</v>
      </c>
      <c r="E215" s="21" t="s">
        <v>122</v>
      </c>
      <c r="F215" s="21" t="s">
        <v>123</v>
      </c>
      <c r="G215" s="21" t="s">
        <v>124</v>
      </c>
      <c r="H215" s="21" t="s">
        <v>125</v>
      </c>
      <c r="I215" s="21" t="s">
        <v>14</v>
      </c>
      <c r="J215" s="20"/>
      <c r="K215" s="20"/>
    </row>
    <row r="216" s="1" customFormat="1" ht="20" customHeight="1" spans="1:11">
      <c r="A216" s="22">
        <v>1</v>
      </c>
      <c r="B216" s="23" t="s">
        <v>54</v>
      </c>
      <c r="C216" s="23">
        <f>18000+14000</f>
        <v>32000</v>
      </c>
      <c r="D216" s="24">
        <f>C216*14</f>
        <v>448000</v>
      </c>
      <c r="E216" s="24">
        <f>C216*22.4</f>
        <v>716800</v>
      </c>
      <c r="F216" s="24">
        <f>C216*11.2</f>
        <v>358400</v>
      </c>
      <c r="G216" s="24">
        <f>C216*4.2</f>
        <v>134400</v>
      </c>
      <c r="H216" s="24">
        <f>C216*4.2</f>
        <v>134400</v>
      </c>
      <c r="I216" s="24">
        <f>SUM(D216:H216)</f>
        <v>1792000</v>
      </c>
      <c r="J216" s="22">
        <v>2</v>
      </c>
      <c r="K216" s="41"/>
    </row>
    <row r="217" s="1" customFormat="1" ht="20" customHeight="1" spans="1:11">
      <c r="A217" s="22">
        <v>2</v>
      </c>
      <c r="B217" s="23" t="s">
        <v>52</v>
      </c>
      <c r="C217" s="23">
        <f>65600+8700</f>
        <v>74300</v>
      </c>
      <c r="D217" s="24">
        <f t="shared" ref="D217:D223" si="41">C217*14</f>
        <v>1040200</v>
      </c>
      <c r="E217" s="24">
        <f t="shared" ref="E217:E223" si="42">C217*22.4</f>
        <v>1664320</v>
      </c>
      <c r="F217" s="24">
        <f t="shared" ref="F217:F223" si="43">C217*11.2</f>
        <v>832160</v>
      </c>
      <c r="G217" s="24">
        <f t="shared" ref="G217:G223" si="44">C217*4.2</f>
        <v>312060</v>
      </c>
      <c r="H217" s="24">
        <f t="shared" ref="H217:H223" si="45">C217*4.2</f>
        <v>312060</v>
      </c>
      <c r="I217" s="24">
        <f t="shared" ref="I217:I225" si="46">SUM(D217:H217)</f>
        <v>4160800</v>
      </c>
      <c r="J217" s="22">
        <v>4</v>
      </c>
      <c r="K217" s="41"/>
    </row>
    <row r="218" s="1" customFormat="1" ht="20" customHeight="1" spans="1:11">
      <c r="A218" s="22">
        <v>3</v>
      </c>
      <c r="B218" s="23" t="s">
        <v>49</v>
      </c>
      <c r="C218" s="23">
        <f>10000+9070</f>
        <v>19070</v>
      </c>
      <c r="D218" s="24">
        <f t="shared" si="41"/>
        <v>266980</v>
      </c>
      <c r="E218" s="24">
        <f t="shared" si="42"/>
        <v>427168</v>
      </c>
      <c r="F218" s="24">
        <f t="shared" si="43"/>
        <v>213584</v>
      </c>
      <c r="G218" s="24">
        <f t="shared" si="44"/>
        <v>80094</v>
      </c>
      <c r="H218" s="24">
        <f t="shared" si="45"/>
        <v>80094</v>
      </c>
      <c r="I218" s="24">
        <f t="shared" si="46"/>
        <v>1067920</v>
      </c>
      <c r="J218" s="22">
        <v>3</v>
      </c>
      <c r="K218" s="41"/>
    </row>
    <row r="219" s="1" customFormat="1" ht="20" customHeight="1" spans="1:11">
      <c r="A219" s="22">
        <v>4</v>
      </c>
      <c r="B219" s="23" t="s">
        <v>28</v>
      </c>
      <c r="C219" s="23">
        <f>81800+15000</f>
        <v>96800</v>
      </c>
      <c r="D219" s="24">
        <f t="shared" si="41"/>
        <v>1355200</v>
      </c>
      <c r="E219" s="24">
        <f t="shared" si="42"/>
        <v>2168320</v>
      </c>
      <c r="F219" s="24">
        <f t="shared" si="43"/>
        <v>1084160</v>
      </c>
      <c r="G219" s="24">
        <f t="shared" si="44"/>
        <v>406560</v>
      </c>
      <c r="H219" s="24">
        <f t="shared" si="45"/>
        <v>406560</v>
      </c>
      <c r="I219" s="24">
        <f t="shared" si="46"/>
        <v>5420800</v>
      </c>
      <c r="J219" s="22">
        <v>5</v>
      </c>
      <c r="K219" s="41"/>
    </row>
    <row r="220" s="1" customFormat="1" ht="20" customHeight="1" spans="1:11">
      <c r="A220" s="22">
        <v>5</v>
      </c>
      <c r="B220" s="23" t="s">
        <v>47</v>
      </c>
      <c r="C220" s="23">
        <v>960</v>
      </c>
      <c r="D220" s="24">
        <f t="shared" si="41"/>
        <v>13440</v>
      </c>
      <c r="E220" s="24">
        <f t="shared" si="42"/>
        <v>21504</v>
      </c>
      <c r="F220" s="24">
        <f t="shared" si="43"/>
        <v>10752</v>
      </c>
      <c r="G220" s="24">
        <f t="shared" si="44"/>
        <v>4032</v>
      </c>
      <c r="H220" s="24">
        <f t="shared" si="45"/>
        <v>4032</v>
      </c>
      <c r="I220" s="24">
        <f t="shared" si="46"/>
        <v>53760</v>
      </c>
      <c r="J220" s="22">
        <v>1</v>
      </c>
      <c r="K220" s="41"/>
    </row>
    <row r="221" s="1" customFormat="1" ht="20" customHeight="1" spans="1:11">
      <c r="A221" s="22">
        <v>6</v>
      </c>
      <c r="B221" s="23" t="s">
        <v>48</v>
      </c>
      <c r="C221" s="23">
        <f>14800+5400+9900</f>
        <v>30100</v>
      </c>
      <c r="D221" s="24">
        <f t="shared" si="41"/>
        <v>421400</v>
      </c>
      <c r="E221" s="24">
        <f t="shared" si="42"/>
        <v>674240</v>
      </c>
      <c r="F221" s="24">
        <f t="shared" si="43"/>
        <v>337120</v>
      </c>
      <c r="G221" s="24">
        <f t="shared" si="44"/>
        <v>126420</v>
      </c>
      <c r="H221" s="24">
        <f t="shared" si="45"/>
        <v>126420</v>
      </c>
      <c r="I221" s="24">
        <f t="shared" si="46"/>
        <v>1685600</v>
      </c>
      <c r="J221" s="22">
        <v>5</v>
      </c>
      <c r="K221" s="41"/>
    </row>
    <row r="222" s="1" customFormat="1" ht="20" customHeight="1" spans="1:11">
      <c r="A222" s="22">
        <v>7</v>
      </c>
      <c r="B222" s="23" t="s">
        <v>50</v>
      </c>
      <c r="C222" s="23">
        <f>6610+1500</f>
        <v>8110</v>
      </c>
      <c r="D222" s="24">
        <f t="shared" si="41"/>
        <v>113540</v>
      </c>
      <c r="E222" s="24">
        <f t="shared" si="42"/>
        <v>181664</v>
      </c>
      <c r="F222" s="24">
        <f t="shared" si="43"/>
        <v>90832</v>
      </c>
      <c r="G222" s="24">
        <f t="shared" si="44"/>
        <v>34062</v>
      </c>
      <c r="H222" s="24">
        <f t="shared" si="45"/>
        <v>34062</v>
      </c>
      <c r="I222" s="24">
        <f t="shared" si="46"/>
        <v>454160</v>
      </c>
      <c r="J222" s="22">
        <v>4</v>
      </c>
      <c r="K222" s="41"/>
    </row>
    <row r="223" s="1" customFormat="1" ht="20" customHeight="1" spans="1:11">
      <c r="A223" s="22">
        <v>8</v>
      </c>
      <c r="B223" s="23" t="s">
        <v>46</v>
      </c>
      <c r="C223" s="23">
        <f>32600+26600</f>
        <v>59200</v>
      </c>
      <c r="D223" s="24">
        <f t="shared" si="41"/>
        <v>828800</v>
      </c>
      <c r="E223" s="24">
        <f t="shared" si="42"/>
        <v>1326080</v>
      </c>
      <c r="F223" s="24">
        <f t="shared" si="43"/>
        <v>663040</v>
      </c>
      <c r="G223" s="24">
        <f t="shared" si="44"/>
        <v>248640</v>
      </c>
      <c r="H223" s="24">
        <f t="shared" si="45"/>
        <v>248640</v>
      </c>
      <c r="I223" s="24">
        <f t="shared" si="46"/>
        <v>3315200</v>
      </c>
      <c r="J223" s="22">
        <v>5</v>
      </c>
      <c r="K223" s="41"/>
    </row>
    <row r="224" s="1" customFormat="1" ht="20" customHeight="1" spans="1:11">
      <c r="A224" s="17" t="s">
        <v>14</v>
      </c>
      <c r="B224" s="17" t="s">
        <v>16</v>
      </c>
      <c r="C224" s="17">
        <f t="shared" ref="C224:J224" si="47">SUM(C216:C223)</f>
        <v>320540</v>
      </c>
      <c r="D224" s="24">
        <f t="shared" si="47"/>
        <v>4487560</v>
      </c>
      <c r="E224" s="24">
        <f t="shared" si="47"/>
        <v>7180096</v>
      </c>
      <c r="F224" s="24">
        <f t="shared" si="47"/>
        <v>3590048</v>
      </c>
      <c r="G224" s="24">
        <f t="shared" si="47"/>
        <v>1346268</v>
      </c>
      <c r="H224" s="24">
        <f t="shared" si="47"/>
        <v>1346268</v>
      </c>
      <c r="I224" s="24">
        <f t="shared" si="47"/>
        <v>17950240</v>
      </c>
      <c r="J224" s="17">
        <f t="shared" si="47"/>
        <v>29</v>
      </c>
      <c r="K224" s="42"/>
    </row>
    <row r="229" s="2" customFormat="1" ht="27" spans="1:11">
      <c r="A229" s="7" t="s">
        <v>126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="3" customFormat="1" ht="20" customHeight="1" spans="1:11">
      <c r="A230" s="6" t="s">
        <v>37</v>
      </c>
      <c r="B230" s="6"/>
      <c r="C230" s="6"/>
      <c r="D230" s="6"/>
      <c r="E230" s="1"/>
      <c r="F230" s="1"/>
      <c r="G230" s="1"/>
      <c r="H230" s="1"/>
      <c r="I230" s="1"/>
      <c r="J230" s="40" t="s">
        <v>19</v>
      </c>
      <c r="K230" s="40"/>
    </row>
    <row r="231" s="3" customFormat="1" ht="20" customHeight="1" spans="1:11">
      <c r="A231" s="20" t="s">
        <v>3</v>
      </c>
      <c r="B231" s="20" t="s">
        <v>20</v>
      </c>
      <c r="C231" s="20" t="s">
        <v>21</v>
      </c>
      <c r="D231" s="21" t="s">
        <v>30</v>
      </c>
      <c r="E231" s="21"/>
      <c r="F231" s="21"/>
      <c r="G231" s="21"/>
      <c r="H231" s="21"/>
      <c r="I231" s="21"/>
      <c r="J231" s="20" t="s">
        <v>7</v>
      </c>
      <c r="K231" s="20" t="s">
        <v>8</v>
      </c>
    </row>
    <row r="232" s="3" customFormat="1" ht="33" customHeight="1" spans="1:11">
      <c r="A232" s="20"/>
      <c r="B232" s="20"/>
      <c r="C232" s="20"/>
      <c r="D232" s="21" t="s">
        <v>31</v>
      </c>
      <c r="E232" s="21" t="s">
        <v>32</v>
      </c>
      <c r="F232" s="21" t="s">
        <v>33</v>
      </c>
      <c r="G232" s="21" t="s">
        <v>34</v>
      </c>
      <c r="H232" s="21" t="s">
        <v>35</v>
      </c>
      <c r="I232" s="21" t="s">
        <v>14</v>
      </c>
      <c r="J232" s="20"/>
      <c r="K232" s="20"/>
    </row>
    <row r="233" s="3" customFormat="1" ht="20" customHeight="1" spans="1:11">
      <c r="A233" s="22">
        <v>1</v>
      </c>
      <c r="B233" s="23" t="s">
        <v>28</v>
      </c>
      <c r="C233" s="25">
        <f>7200+30075+55400</f>
        <v>92675</v>
      </c>
      <c r="D233" s="24">
        <f t="shared" ref="D233:D238" si="48">C233*7.5</f>
        <v>695062.5</v>
      </c>
      <c r="E233" s="24">
        <f t="shared" ref="E233:E238" si="49">C233*12</f>
        <v>1112100</v>
      </c>
      <c r="F233" s="24">
        <f t="shared" ref="F233:F238" si="50">C233*6</f>
        <v>556050</v>
      </c>
      <c r="G233" s="24">
        <f t="shared" ref="G233:G238" si="51">C233*2.25</f>
        <v>208518.75</v>
      </c>
      <c r="H233" s="24">
        <f t="shared" ref="H233:H238" si="52">C233*2.25</f>
        <v>208518.75</v>
      </c>
      <c r="I233" s="24">
        <f t="shared" ref="I233:I238" si="53">SUM(D233:H233)</f>
        <v>2780250</v>
      </c>
      <c r="J233" s="22">
        <v>3</v>
      </c>
      <c r="K233" s="41"/>
    </row>
    <row r="234" s="3" customFormat="1" ht="20" customHeight="1" spans="1:11">
      <c r="A234" s="22">
        <v>2</v>
      </c>
      <c r="B234" s="23" t="s">
        <v>52</v>
      </c>
      <c r="C234" s="25">
        <f>1000+37500</f>
        <v>38500</v>
      </c>
      <c r="D234" s="24">
        <f t="shared" si="48"/>
        <v>288750</v>
      </c>
      <c r="E234" s="24">
        <f t="shared" si="49"/>
        <v>462000</v>
      </c>
      <c r="F234" s="24">
        <f t="shared" si="50"/>
        <v>231000</v>
      </c>
      <c r="G234" s="24">
        <f t="shared" si="51"/>
        <v>86625</v>
      </c>
      <c r="H234" s="24">
        <f t="shared" si="52"/>
        <v>86625</v>
      </c>
      <c r="I234" s="24">
        <f t="shared" si="53"/>
        <v>1155000</v>
      </c>
      <c r="J234" s="22">
        <v>2</v>
      </c>
      <c r="K234" s="41"/>
    </row>
    <row r="235" s="3" customFormat="1" ht="20" customHeight="1" spans="1:11">
      <c r="A235" s="22">
        <v>3</v>
      </c>
      <c r="B235" s="23" t="s">
        <v>48</v>
      </c>
      <c r="C235" s="25">
        <f>2160+20150</f>
        <v>22310</v>
      </c>
      <c r="D235" s="24">
        <f t="shared" si="48"/>
        <v>167325</v>
      </c>
      <c r="E235" s="24">
        <f t="shared" si="49"/>
        <v>267720</v>
      </c>
      <c r="F235" s="24">
        <f t="shared" si="50"/>
        <v>133860</v>
      </c>
      <c r="G235" s="24">
        <f t="shared" si="51"/>
        <v>50197.5</v>
      </c>
      <c r="H235" s="24">
        <f t="shared" si="52"/>
        <v>50197.5</v>
      </c>
      <c r="I235" s="24">
        <f t="shared" si="53"/>
        <v>669300</v>
      </c>
      <c r="J235" s="22">
        <v>3</v>
      </c>
      <c r="K235" s="41"/>
    </row>
    <row r="236" s="3" customFormat="1" ht="20" customHeight="1" spans="1:11">
      <c r="A236" s="22">
        <v>4</v>
      </c>
      <c r="B236" s="23" t="s">
        <v>46</v>
      </c>
      <c r="C236" s="25">
        <f>800+10620+8800</f>
        <v>20220</v>
      </c>
      <c r="D236" s="24">
        <f t="shared" si="48"/>
        <v>151650</v>
      </c>
      <c r="E236" s="24">
        <f t="shared" si="49"/>
        <v>242640</v>
      </c>
      <c r="F236" s="24">
        <f t="shared" si="50"/>
        <v>121320</v>
      </c>
      <c r="G236" s="24">
        <f t="shared" si="51"/>
        <v>45495</v>
      </c>
      <c r="H236" s="24">
        <f t="shared" si="52"/>
        <v>45495</v>
      </c>
      <c r="I236" s="24">
        <f t="shared" si="53"/>
        <v>606600</v>
      </c>
      <c r="J236" s="22">
        <v>3</v>
      </c>
      <c r="K236" s="41"/>
    </row>
    <row r="237" s="3" customFormat="1" ht="20" customHeight="1" spans="1:11">
      <c r="A237" s="22">
        <v>5</v>
      </c>
      <c r="B237" s="23" t="s">
        <v>50</v>
      </c>
      <c r="C237" s="25">
        <f>1530+8600</f>
        <v>10130</v>
      </c>
      <c r="D237" s="24">
        <f t="shared" si="48"/>
        <v>75975</v>
      </c>
      <c r="E237" s="24">
        <f t="shared" si="49"/>
        <v>121560</v>
      </c>
      <c r="F237" s="24">
        <f t="shared" si="50"/>
        <v>60780</v>
      </c>
      <c r="G237" s="24">
        <f t="shared" si="51"/>
        <v>22792.5</v>
      </c>
      <c r="H237" s="24">
        <f t="shared" si="52"/>
        <v>22792.5</v>
      </c>
      <c r="I237" s="24">
        <f t="shared" si="53"/>
        <v>303900</v>
      </c>
      <c r="J237" s="22">
        <v>2</v>
      </c>
      <c r="K237" s="41"/>
    </row>
    <row r="238" s="3" customFormat="1" ht="20" customHeight="1" spans="1:11">
      <c r="A238" s="22">
        <v>6</v>
      </c>
      <c r="B238" s="23" t="s">
        <v>63</v>
      </c>
      <c r="C238" s="25">
        <v>26100</v>
      </c>
      <c r="D238" s="24">
        <f t="shared" si="48"/>
        <v>195750</v>
      </c>
      <c r="E238" s="24">
        <f t="shared" si="49"/>
        <v>313200</v>
      </c>
      <c r="F238" s="24">
        <f t="shared" si="50"/>
        <v>156600</v>
      </c>
      <c r="G238" s="24">
        <f t="shared" si="51"/>
        <v>58725</v>
      </c>
      <c r="H238" s="24">
        <f t="shared" si="52"/>
        <v>58725</v>
      </c>
      <c r="I238" s="24">
        <f t="shared" si="53"/>
        <v>783000</v>
      </c>
      <c r="J238" s="22">
        <v>1</v>
      </c>
      <c r="K238" s="41"/>
    </row>
    <row r="239" s="4" customFormat="1" ht="20" customHeight="1" spans="1:11">
      <c r="A239" s="17" t="s">
        <v>14</v>
      </c>
      <c r="B239" s="17" t="s">
        <v>16</v>
      </c>
      <c r="C239" s="17">
        <f t="shared" ref="C239:J239" si="54">SUM(C233:C238)</f>
        <v>209935</v>
      </c>
      <c r="D239" s="18">
        <f t="shared" si="54"/>
        <v>1574512.5</v>
      </c>
      <c r="E239" s="18">
        <f t="shared" si="54"/>
        <v>2519220</v>
      </c>
      <c r="F239" s="18">
        <f t="shared" si="54"/>
        <v>1259610</v>
      </c>
      <c r="G239" s="18">
        <f t="shared" si="54"/>
        <v>472353.75</v>
      </c>
      <c r="H239" s="18">
        <f t="shared" si="54"/>
        <v>472353.75</v>
      </c>
      <c r="I239" s="18">
        <f t="shared" si="54"/>
        <v>6298050</v>
      </c>
      <c r="J239" s="17">
        <f t="shared" si="54"/>
        <v>14</v>
      </c>
      <c r="K239" s="17"/>
    </row>
    <row r="244" ht="27" spans="1:11">
      <c r="A244" s="7" t="s">
        <v>127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ht="23" customHeight="1" spans="1:11">
      <c r="A245" s="6" t="s">
        <v>37</v>
      </c>
      <c r="B245" s="6"/>
      <c r="C245" s="6"/>
      <c r="D245" s="6"/>
      <c r="J245" s="40" t="s">
        <v>38</v>
      </c>
      <c r="K245" s="40"/>
    </row>
    <row r="246" ht="19" customHeight="1" spans="1:11">
      <c r="A246" s="20" t="s">
        <v>3</v>
      </c>
      <c r="B246" s="20" t="s">
        <v>20</v>
      </c>
      <c r="C246" s="20" t="s">
        <v>5</v>
      </c>
      <c r="D246" s="21" t="s">
        <v>128</v>
      </c>
      <c r="E246" s="21"/>
      <c r="F246" s="21"/>
      <c r="G246" s="21"/>
      <c r="H246" s="21"/>
      <c r="I246" s="21"/>
      <c r="J246" s="20" t="s">
        <v>7</v>
      </c>
      <c r="K246" s="20" t="s">
        <v>8</v>
      </c>
    </row>
    <row r="247" ht="19" customHeight="1" spans="1:11">
      <c r="A247" s="20"/>
      <c r="B247" s="20"/>
      <c r="C247" s="20"/>
      <c r="D247" s="21" t="s">
        <v>129</v>
      </c>
      <c r="E247" s="21" t="s">
        <v>78</v>
      </c>
      <c r="F247" s="21" t="s">
        <v>130</v>
      </c>
      <c r="G247" s="21" t="s">
        <v>131</v>
      </c>
      <c r="H247" s="21" t="s">
        <v>132</v>
      </c>
      <c r="I247" s="21" t="s">
        <v>14</v>
      </c>
      <c r="J247" s="20"/>
      <c r="K247" s="20"/>
    </row>
    <row r="248" ht="20" customHeight="1" spans="1:11">
      <c r="A248" s="22">
        <v>1</v>
      </c>
      <c r="B248" s="23" t="s">
        <v>28</v>
      </c>
      <c r="C248" s="23">
        <v>7.3</v>
      </c>
      <c r="D248" s="24">
        <f>+C248*120</f>
        <v>876</v>
      </c>
      <c r="E248" s="24">
        <f>+C248*0</f>
        <v>0</v>
      </c>
      <c r="F248" s="24">
        <f>+C248*200</f>
        <v>1460</v>
      </c>
      <c r="G248" s="24">
        <f>+C248*40</f>
        <v>292</v>
      </c>
      <c r="H248" s="24">
        <f>+C248*40</f>
        <v>292</v>
      </c>
      <c r="I248" s="24">
        <f>SUM(D248:H248)</f>
        <v>2920</v>
      </c>
      <c r="J248" s="22">
        <v>1</v>
      </c>
      <c r="K248" s="41"/>
    </row>
    <row r="249" ht="20" customHeight="1" spans="1:11">
      <c r="A249" s="65" t="s">
        <v>14</v>
      </c>
      <c r="B249" s="65" t="s">
        <v>16</v>
      </c>
      <c r="C249" s="65">
        <f t="shared" ref="C249:J249" si="55">SUM(C248:C248)</f>
        <v>7.3</v>
      </c>
      <c r="D249" s="24">
        <f t="shared" si="55"/>
        <v>876</v>
      </c>
      <c r="E249" s="24">
        <f t="shared" si="55"/>
        <v>0</v>
      </c>
      <c r="F249" s="24">
        <f t="shared" si="55"/>
        <v>1460</v>
      </c>
      <c r="G249" s="24">
        <f t="shared" si="55"/>
        <v>292</v>
      </c>
      <c r="H249" s="24">
        <f t="shared" si="55"/>
        <v>292</v>
      </c>
      <c r="I249" s="24">
        <f t="shared" si="55"/>
        <v>2920</v>
      </c>
      <c r="J249" s="65">
        <f t="shared" si="55"/>
        <v>1</v>
      </c>
      <c r="K249" s="68"/>
    </row>
    <row r="254" ht="27" spans="1:11">
      <c r="A254" s="7" t="s">
        <v>133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ht="23" customHeight="1" spans="1:11">
      <c r="A255" s="6" t="s">
        <v>37</v>
      </c>
      <c r="B255" s="6"/>
      <c r="C255" s="6"/>
      <c r="D255" s="6"/>
      <c r="J255" s="40" t="s">
        <v>38</v>
      </c>
      <c r="K255" s="40"/>
    </row>
    <row r="256" ht="19" customHeight="1" spans="1:11">
      <c r="A256" s="20" t="s">
        <v>3</v>
      </c>
      <c r="B256" s="20" t="s">
        <v>20</v>
      </c>
      <c r="C256" s="20" t="s">
        <v>5</v>
      </c>
      <c r="D256" s="21" t="s">
        <v>134</v>
      </c>
      <c r="E256" s="21"/>
      <c r="F256" s="21"/>
      <c r="G256" s="21"/>
      <c r="H256" s="21"/>
      <c r="I256" s="21"/>
      <c r="J256" s="20" t="s">
        <v>7</v>
      </c>
      <c r="K256" s="20" t="s">
        <v>8</v>
      </c>
    </row>
    <row r="257" ht="19" customHeight="1" spans="1:11">
      <c r="A257" s="20"/>
      <c r="B257" s="20"/>
      <c r="C257" s="20"/>
      <c r="D257" s="21" t="s">
        <v>135</v>
      </c>
      <c r="E257" s="21" t="s">
        <v>78</v>
      </c>
      <c r="F257" s="21" t="s">
        <v>136</v>
      </c>
      <c r="G257" s="21" t="s">
        <v>137</v>
      </c>
      <c r="H257" s="21" t="s">
        <v>138</v>
      </c>
      <c r="I257" s="21" t="s">
        <v>14</v>
      </c>
      <c r="J257" s="20"/>
      <c r="K257" s="20"/>
    </row>
    <row r="258" ht="20" customHeight="1" spans="1:11">
      <c r="A258" s="22">
        <v>1</v>
      </c>
      <c r="B258" s="23" t="s">
        <v>52</v>
      </c>
      <c r="C258" s="23">
        <v>18</v>
      </c>
      <c r="D258" s="24">
        <f>+C258*36</f>
        <v>648</v>
      </c>
      <c r="E258" s="24">
        <f>+C258*0</f>
        <v>0</v>
      </c>
      <c r="F258" s="24">
        <f>+C258*90</f>
        <v>1620</v>
      </c>
      <c r="G258" s="24">
        <f>+C258*27</f>
        <v>486</v>
      </c>
      <c r="H258" s="24">
        <f>+C258*27</f>
        <v>486</v>
      </c>
      <c r="I258" s="24">
        <f>SUM(D258:H258)</f>
        <v>3240</v>
      </c>
      <c r="J258" s="22">
        <v>1</v>
      </c>
      <c r="K258" s="62" t="s">
        <v>110</v>
      </c>
    </row>
    <row r="259" ht="20" customHeight="1" spans="1:11">
      <c r="A259" s="65" t="s">
        <v>14</v>
      </c>
      <c r="B259" s="65" t="s">
        <v>16</v>
      </c>
      <c r="C259" s="65">
        <f t="shared" ref="C259:J259" si="56">SUM(C258:C258)</f>
        <v>18</v>
      </c>
      <c r="D259" s="24">
        <f t="shared" si="56"/>
        <v>648</v>
      </c>
      <c r="E259" s="24">
        <f t="shared" si="56"/>
        <v>0</v>
      </c>
      <c r="F259" s="24">
        <f t="shared" si="56"/>
        <v>1620</v>
      </c>
      <c r="G259" s="24">
        <f t="shared" si="56"/>
        <v>486</v>
      </c>
      <c r="H259" s="24">
        <f t="shared" si="56"/>
        <v>486</v>
      </c>
      <c r="I259" s="24">
        <f t="shared" si="56"/>
        <v>3240</v>
      </c>
      <c r="J259" s="65">
        <f t="shared" si="56"/>
        <v>1</v>
      </c>
      <c r="K259" s="68"/>
    </row>
  </sheetData>
  <mergeCells count="171">
    <mergeCell ref="A2:J2"/>
    <mergeCell ref="J3:K3"/>
    <mergeCell ref="D4:I4"/>
    <mergeCell ref="A12:K12"/>
    <mergeCell ref="J13:K13"/>
    <mergeCell ref="D14:I14"/>
    <mergeCell ref="A22:K22"/>
    <mergeCell ref="J23:K23"/>
    <mergeCell ref="D24:I24"/>
    <mergeCell ref="A32:K32"/>
    <mergeCell ref="A33:C33"/>
    <mergeCell ref="J33:K33"/>
    <mergeCell ref="D34:I34"/>
    <mergeCell ref="A52:K52"/>
    <mergeCell ref="A53:C53"/>
    <mergeCell ref="J53:K53"/>
    <mergeCell ref="D54:I54"/>
    <mergeCell ref="A71:K71"/>
    <mergeCell ref="A72:C72"/>
    <mergeCell ref="J72:K72"/>
    <mergeCell ref="D73:I73"/>
    <mergeCell ref="A85:K85"/>
    <mergeCell ref="A90:K90"/>
    <mergeCell ref="A91:C91"/>
    <mergeCell ref="J91:K91"/>
    <mergeCell ref="D92:I92"/>
    <mergeCell ref="A103:K103"/>
    <mergeCell ref="A108:K108"/>
    <mergeCell ref="A109:C109"/>
    <mergeCell ref="J109:K109"/>
    <mergeCell ref="D110:I110"/>
    <mergeCell ref="A114:K114"/>
    <mergeCell ref="A119:K119"/>
    <mergeCell ref="J120:K120"/>
    <mergeCell ref="D121:I121"/>
    <mergeCell ref="A131:K131"/>
    <mergeCell ref="A132:C132"/>
    <mergeCell ref="J132:K132"/>
    <mergeCell ref="D133:I133"/>
    <mergeCell ref="A150:K150"/>
    <mergeCell ref="A151:C151"/>
    <mergeCell ref="J151:K151"/>
    <mergeCell ref="D152:I152"/>
    <mergeCell ref="A160:K160"/>
    <mergeCell ref="A161:C161"/>
    <mergeCell ref="J161:K161"/>
    <mergeCell ref="D162:I162"/>
    <mergeCell ref="A171:K171"/>
    <mergeCell ref="A172:C172"/>
    <mergeCell ref="J172:K172"/>
    <mergeCell ref="D173:I173"/>
    <mergeCell ref="A183:K183"/>
    <mergeCell ref="A184:C184"/>
    <mergeCell ref="J184:K184"/>
    <mergeCell ref="D185:I185"/>
    <mergeCell ref="A197:J197"/>
    <mergeCell ref="A198:C198"/>
    <mergeCell ref="J198:K198"/>
    <mergeCell ref="D199:I199"/>
    <mergeCell ref="A212:K212"/>
    <mergeCell ref="A213:C213"/>
    <mergeCell ref="J213:K213"/>
    <mergeCell ref="D214:I214"/>
    <mergeCell ref="A229:K229"/>
    <mergeCell ref="A230:C230"/>
    <mergeCell ref="J230:K230"/>
    <mergeCell ref="D231:I231"/>
    <mergeCell ref="A244:K244"/>
    <mergeCell ref="A245:C245"/>
    <mergeCell ref="J245:K245"/>
    <mergeCell ref="D246:I246"/>
    <mergeCell ref="A254:K254"/>
    <mergeCell ref="A255:C255"/>
    <mergeCell ref="J255:K255"/>
    <mergeCell ref="D256:I256"/>
    <mergeCell ref="A4:A5"/>
    <mergeCell ref="A14:A15"/>
    <mergeCell ref="A24:A25"/>
    <mergeCell ref="A34:A35"/>
    <mergeCell ref="A54:A55"/>
    <mergeCell ref="A73:A74"/>
    <mergeCell ref="A92:A93"/>
    <mergeCell ref="A110:A111"/>
    <mergeCell ref="A121:A122"/>
    <mergeCell ref="A133:A134"/>
    <mergeCell ref="A152:A153"/>
    <mergeCell ref="A162:A163"/>
    <mergeCell ref="A173:A174"/>
    <mergeCell ref="A185:A186"/>
    <mergeCell ref="A199:A200"/>
    <mergeCell ref="A214:A215"/>
    <mergeCell ref="A231:A232"/>
    <mergeCell ref="A246:A247"/>
    <mergeCell ref="A256:A257"/>
    <mergeCell ref="B4:B5"/>
    <mergeCell ref="B14:B15"/>
    <mergeCell ref="B24:B25"/>
    <mergeCell ref="B34:B35"/>
    <mergeCell ref="B54:B55"/>
    <mergeCell ref="B73:B74"/>
    <mergeCell ref="B92:B93"/>
    <mergeCell ref="B110:B111"/>
    <mergeCell ref="B121:B122"/>
    <mergeCell ref="B133:B134"/>
    <mergeCell ref="B152:B153"/>
    <mergeCell ref="B162:B163"/>
    <mergeCell ref="B173:B174"/>
    <mergeCell ref="B185:B186"/>
    <mergeCell ref="B199:B200"/>
    <mergeCell ref="B214:B215"/>
    <mergeCell ref="B231:B232"/>
    <mergeCell ref="B246:B247"/>
    <mergeCell ref="B256:B257"/>
    <mergeCell ref="C4:C5"/>
    <mergeCell ref="C14:C15"/>
    <mergeCell ref="C24:C25"/>
    <mergeCell ref="C34:C35"/>
    <mergeCell ref="C54:C55"/>
    <mergeCell ref="C73:C74"/>
    <mergeCell ref="C92:C93"/>
    <mergeCell ref="C110:C111"/>
    <mergeCell ref="C121:C122"/>
    <mergeCell ref="C133:C134"/>
    <mergeCell ref="C152:C153"/>
    <mergeCell ref="C162:C163"/>
    <mergeCell ref="C173:C174"/>
    <mergeCell ref="C185:C186"/>
    <mergeCell ref="C199:C200"/>
    <mergeCell ref="C214:C215"/>
    <mergeCell ref="C231:C232"/>
    <mergeCell ref="C246:C247"/>
    <mergeCell ref="C256:C257"/>
    <mergeCell ref="J4:J5"/>
    <mergeCell ref="J14:J15"/>
    <mergeCell ref="J24:J25"/>
    <mergeCell ref="J34:J35"/>
    <mergeCell ref="J54:J55"/>
    <mergeCell ref="J73:J74"/>
    <mergeCell ref="J92:J93"/>
    <mergeCell ref="J110:J111"/>
    <mergeCell ref="J121:J122"/>
    <mergeCell ref="J133:J134"/>
    <mergeCell ref="J152:J153"/>
    <mergeCell ref="J162:J163"/>
    <mergeCell ref="J173:J174"/>
    <mergeCell ref="J185:J186"/>
    <mergeCell ref="J199:J200"/>
    <mergeCell ref="J214:J215"/>
    <mergeCell ref="J231:J232"/>
    <mergeCell ref="J246:J247"/>
    <mergeCell ref="J256:J257"/>
    <mergeCell ref="K4:K5"/>
    <mergeCell ref="K6:K7"/>
    <mergeCell ref="K14:K15"/>
    <mergeCell ref="K24:K25"/>
    <mergeCell ref="K34:K35"/>
    <mergeCell ref="K54:K55"/>
    <mergeCell ref="K73:K74"/>
    <mergeCell ref="K92:K93"/>
    <mergeCell ref="K110:K111"/>
    <mergeCell ref="K121:K122"/>
    <mergeCell ref="K133:K134"/>
    <mergeCell ref="K152:K153"/>
    <mergeCell ref="K162:K163"/>
    <mergeCell ref="K173:K174"/>
    <mergeCell ref="K185:K186"/>
    <mergeCell ref="K199:K200"/>
    <mergeCell ref="K214:K215"/>
    <mergeCell ref="K231:K232"/>
    <mergeCell ref="K246:K247"/>
    <mergeCell ref="K256:K257"/>
  </mergeCells>
  <pageMargins left="0.75" right="0.75" top="0.708333333333333" bottom="1" header="0.511805555555556" footer="0.51180555555555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2019-10-10T07:26:00Z</cp:lastPrinted>
  <dcterms:modified xsi:type="dcterms:W3CDTF">2022-04-01T07:18:39Z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CC1C955EA89B494681F1FBA678D0BC70</vt:lpwstr>
  </property>
  <property fmtid="{D5CDD505-2E9C-101B-9397-08002B2CF9AE}" pid="4" name="KSOReadingLayout">
    <vt:bool>true</vt:bool>
  </property>
</Properties>
</file>